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Users/mihailpika/Downloads/"/>
    </mc:Choice>
  </mc:AlternateContent>
  <xr:revisionPtr revIDLastSave="0" documentId="8_{CC0DC9F9-4AD0-F04C-9183-36E2890C8B14}" xr6:coauthVersionLast="47" xr6:coauthVersionMax="47" xr10:uidLastSave="{00000000-0000-0000-0000-000000000000}"/>
  <bookViews>
    <workbookView xWindow="1700" yWindow="860" windowWidth="34200" windowHeight="19860" xr2:uid="{00000000-000D-0000-FFFF-FFFF00000000}"/>
  </bookViews>
  <sheets>
    <sheet name="Нормативы и РРЦ" sheetId="2" r:id="rId1"/>
    <sheet name="Параметры для расчета" sheetId="1" r:id="rId2"/>
    <sheet name="Клееный Брус 200 280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0" i="3" l="1"/>
  <c r="D109" i="3"/>
  <c r="D108" i="3"/>
  <c r="B108" i="3"/>
  <c r="E108" i="3" s="1"/>
  <c r="D107" i="3"/>
  <c r="B107" i="3"/>
  <c r="E107" i="3" s="1"/>
  <c r="D106" i="3"/>
  <c r="B106" i="3"/>
  <c r="E106" i="3" s="1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E90" i="3"/>
  <c r="D90" i="3"/>
  <c r="B90" i="3"/>
  <c r="D89" i="3"/>
  <c r="D88" i="3"/>
  <c r="D87" i="3"/>
  <c r="D85" i="3"/>
  <c r="B85" i="3"/>
  <c r="D83" i="3"/>
  <c r="D82" i="3"/>
  <c r="D81" i="3"/>
  <c r="D80" i="3"/>
  <c r="D79" i="3"/>
  <c r="D78" i="3"/>
  <c r="D77" i="3"/>
  <c r="D76" i="3"/>
  <c r="D73" i="3"/>
  <c r="D72" i="3"/>
  <c r="B72" i="3"/>
  <c r="E72" i="3" s="1"/>
  <c r="D70" i="3"/>
  <c r="D69" i="3"/>
  <c r="D68" i="3"/>
  <c r="D66" i="3"/>
  <c r="D65" i="3"/>
  <c r="D64" i="3"/>
  <c r="D63" i="3"/>
  <c r="D62" i="3"/>
  <c r="D61" i="3"/>
  <c r="D60" i="3"/>
  <c r="D59" i="3"/>
  <c r="D58" i="3"/>
  <c r="D55" i="3"/>
  <c r="E54" i="3"/>
  <c r="D54" i="3"/>
  <c r="B54" i="3"/>
  <c r="D52" i="3"/>
  <c r="D51" i="3"/>
  <c r="D50" i="3"/>
  <c r="D49" i="3"/>
  <c r="D48" i="3"/>
  <c r="D47" i="3"/>
  <c r="D45" i="3"/>
  <c r="D44" i="3"/>
  <c r="B44" i="3"/>
  <c r="E44" i="3" s="1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3" i="3"/>
  <c r="D22" i="3"/>
  <c r="B10" i="3"/>
  <c r="B9" i="3"/>
  <c r="B8" i="3"/>
  <c r="B53" i="1"/>
  <c r="B73" i="3" s="1"/>
  <c r="E73" i="3" s="1"/>
  <c r="B49" i="1"/>
  <c r="B82" i="3" s="1"/>
  <c r="E82" i="3" s="1"/>
  <c r="B48" i="1"/>
  <c r="B76" i="3" s="1"/>
  <c r="E76" i="3" s="1"/>
  <c r="B47" i="1"/>
  <c r="B77" i="3" s="1"/>
  <c r="E77" i="3" s="1"/>
  <c r="B46" i="1"/>
  <c r="B104" i="3" s="1"/>
  <c r="E104" i="3" s="1"/>
  <c r="B43" i="1"/>
  <c r="B52" i="3" s="1"/>
  <c r="E52" i="3" s="1"/>
  <c r="B41" i="1"/>
  <c r="B31" i="3" s="1"/>
  <c r="E31" i="3" s="1"/>
  <c r="B40" i="1"/>
  <c r="B55" i="3" s="1"/>
  <c r="E55" i="3" s="1"/>
  <c r="E53" i="3" s="1"/>
  <c r="B39" i="1"/>
  <c r="B30" i="3" s="1"/>
  <c r="E30" i="3" s="1"/>
  <c r="B38" i="1"/>
  <c r="B29" i="3" s="1"/>
  <c r="E29" i="3" s="1"/>
  <c r="B37" i="1"/>
  <c r="B39" i="3" s="1"/>
  <c r="E39" i="3" s="1"/>
  <c r="B36" i="1"/>
  <c r="B35" i="1"/>
  <c r="B40" i="3" s="1"/>
  <c r="E40" i="3" s="1"/>
  <c r="B34" i="1"/>
  <c r="B23" i="3" s="1"/>
  <c r="E23" i="3" s="1"/>
  <c r="B33" i="1"/>
  <c r="B22" i="3" s="1"/>
  <c r="E22" i="3" s="1"/>
  <c r="B30" i="1"/>
  <c r="B94" i="3" s="1"/>
  <c r="E94" i="3" s="1"/>
  <c r="B29" i="1"/>
  <c r="B11" i="3" s="1"/>
  <c r="B28" i="1"/>
  <c r="B13" i="3" s="1"/>
  <c r="B45" i="3" l="1"/>
  <c r="E45" i="3" s="1"/>
  <c r="E85" i="3"/>
  <c r="E84" i="3" s="1"/>
  <c r="B36" i="3"/>
  <c r="E36" i="3" s="1"/>
  <c r="B48" i="3"/>
  <c r="E48" i="3" s="1"/>
  <c r="B80" i="3"/>
  <c r="E80" i="3" s="1"/>
  <c r="E71" i="3"/>
  <c r="B31" i="1"/>
  <c r="B32" i="1" s="1"/>
  <c r="B51" i="1" s="1"/>
  <c r="B79" i="3" s="1"/>
  <c r="E79" i="3" s="1"/>
  <c r="B44" i="1"/>
  <c r="B37" i="3" s="1"/>
  <c r="E37" i="3" s="1"/>
  <c r="B26" i="3"/>
  <c r="E26" i="3" s="1"/>
  <c r="B83" i="3"/>
  <c r="E83" i="3" s="1"/>
  <c r="E21" i="3"/>
  <c r="E20" i="3" s="1"/>
  <c r="E43" i="3"/>
  <c r="B42" i="1"/>
  <c r="B32" i="3" s="1"/>
  <c r="E32" i="3" s="1"/>
  <c r="B51" i="3"/>
  <c r="E51" i="3" s="1"/>
  <c r="B63" i="3"/>
  <c r="E63" i="3" s="1"/>
  <c r="B101" i="3"/>
  <c r="E101" i="3" s="1"/>
  <c r="B95" i="3"/>
  <c r="E95" i="3" s="1"/>
  <c r="B45" i="1"/>
  <c r="B38" i="3" s="1"/>
  <c r="E38" i="3" s="1"/>
  <c r="B102" i="3"/>
  <c r="E102" i="3" s="1"/>
  <c r="B99" i="3"/>
  <c r="E99" i="3" s="1"/>
  <c r="B58" i="3"/>
  <c r="E58" i="3" s="1"/>
  <c r="B103" i="3"/>
  <c r="E103" i="3" s="1"/>
  <c r="B60" i="3"/>
  <c r="E60" i="3" s="1"/>
  <c r="B33" i="3"/>
  <c r="E33" i="3" s="1"/>
  <c r="B64" i="3"/>
  <c r="E64" i="3" s="1"/>
  <c r="B27" i="3"/>
  <c r="E27" i="3" s="1"/>
  <c r="B49" i="3"/>
  <c r="E49" i="3" s="1"/>
  <c r="B34" i="3"/>
  <c r="E34" i="3" s="1"/>
  <c r="B96" i="3"/>
  <c r="E96" i="3" s="1"/>
  <c r="B28" i="3"/>
  <c r="E28" i="3" s="1"/>
  <c r="B50" i="3"/>
  <c r="E50" i="3" s="1"/>
  <c r="B62" i="3"/>
  <c r="E62" i="3" s="1"/>
  <c r="B100" i="3"/>
  <c r="E100" i="3" s="1"/>
  <c r="B50" i="1"/>
  <c r="B35" i="3"/>
  <c r="E35" i="3" s="1"/>
  <c r="B47" i="3"/>
  <c r="E47" i="3" s="1"/>
  <c r="B59" i="3"/>
  <c r="E59" i="3" s="1"/>
  <c r="B97" i="3"/>
  <c r="E97" i="3" s="1"/>
  <c r="B54" i="1"/>
  <c r="B98" i="3"/>
  <c r="E98" i="3" s="1"/>
  <c r="B56" i="1"/>
  <c r="B88" i="3" s="1"/>
  <c r="E88" i="3" s="1"/>
  <c r="B68" i="3"/>
  <c r="E68" i="3" s="1"/>
  <c r="B92" i="3"/>
  <c r="E92" i="3" s="1"/>
  <c r="B61" i="3"/>
  <c r="E61" i="3" s="1"/>
  <c r="B65" i="3"/>
  <c r="E65" i="3" s="1"/>
  <c r="B81" i="3"/>
  <c r="E81" i="3" s="1"/>
  <c r="B89" i="3"/>
  <c r="E89" i="3" s="1"/>
  <c r="B93" i="3"/>
  <c r="E93" i="3" s="1"/>
  <c r="B66" i="3"/>
  <c r="E66" i="3" s="1"/>
  <c r="B110" i="3" l="1"/>
  <c r="E110" i="3" s="1"/>
  <c r="B87" i="3"/>
  <c r="E87" i="3" s="1"/>
  <c r="E86" i="3" s="1"/>
  <c r="B78" i="3"/>
  <c r="E78" i="3" s="1"/>
  <c r="E75" i="3" s="1"/>
  <c r="E74" i="3" s="1"/>
  <c r="B109" i="3"/>
  <c r="E109" i="3" s="1"/>
  <c r="B105" i="3" s="1"/>
  <c r="E105" i="3" s="1"/>
  <c r="E91" i="3" s="1"/>
  <c r="E46" i="3"/>
  <c r="B69" i="3"/>
  <c r="E69" i="3" s="1"/>
  <c r="B55" i="1"/>
  <c r="B70" i="3" s="1"/>
  <c r="E70" i="3" s="1"/>
  <c r="E42" i="3"/>
  <c r="B41" i="3" s="1"/>
  <c r="E41" i="3" s="1"/>
  <c r="E25" i="3" s="1"/>
  <c r="E24" i="3" s="1"/>
  <c r="E57" i="3"/>
  <c r="E67" i="3" l="1"/>
  <c r="E56" i="3" s="1"/>
  <c r="B16" i="3" s="1"/>
  <c r="B12" i="3" s="1"/>
</calcChain>
</file>

<file path=xl/sharedStrings.xml><?xml version="1.0" encoding="utf-8"?>
<sst xmlns="http://schemas.openxmlformats.org/spreadsheetml/2006/main" count="578" uniqueCount="289">
  <si>
    <t>ПАРАМЕТРЫ ДЛЯ РАСЧЕТА</t>
  </si>
  <si>
    <t>Версия</t>
  </si>
  <si>
    <t>Площадь наружных стен</t>
  </si>
  <si>
    <t>м²</t>
  </si>
  <si>
    <t>Площадь внутренних брусовых стен</t>
  </si>
  <si>
    <t>Площадь кровли</t>
  </si>
  <si>
    <t>Площадь утепления кровли</t>
  </si>
  <si>
    <t>Площадь перекрытия</t>
  </si>
  <si>
    <t>Площадь по полу теплового контура</t>
  </si>
  <si>
    <t>Площадь фундамента</t>
  </si>
  <si>
    <t>Площадь открытых террас / балконов</t>
  </si>
  <si>
    <t>Площадь крытых террас / балконов</t>
  </si>
  <si>
    <t>Площадь осевая</t>
  </si>
  <si>
    <t>Площадь застройки</t>
  </si>
  <si>
    <t>Площадь остекления</t>
  </si>
  <si>
    <t>Периметр внешний осевой</t>
  </si>
  <si>
    <t>м.п.</t>
  </si>
  <si>
    <t>Количество заливок бетона</t>
  </si>
  <si>
    <t>шт</t>
  </si>
  <si>
    <t>Общий объем клееного бруса (если известен)</t>
  </si>
  <si>
    <t>м³</t>
  </si>
  <si>
    <t>Объем внутренних брусовых стен (если известен)</t>
  </si>
  <si>
    <t>Дренаж предусмотрен</t>
  </si>
  <si>
    <t>Да/Нет</t>
  </si>
  <si>
    <t>Площадь утепления кровли и эркера</t>
  </si>
  <si>
    <t>Толщина клееного бруса</t>
  </si>
  <si>
    <t>м</t>
  </si>
  <si>
    <t>Высота клееного бруса номинальная</t>
  </si>
  <si>
    <t>мм</t>
  </si>
  <si>
    <t>Высота венца эффективная</t>
  </si>
  <si>
    <t>Толщина утепления кровли</t>
  </si>
  <si>
    <t>РАСЧЕТНЫЕ ПАРАМЕТРЫ</t>
  </si>
  <si>
    <t>Площадь общая</t>
  </si>
  <si>
    <t>Приведенная площадь</t>
  </si>
  <si>
    <t>Расчетный общий объем КБ</t>
  </si>
  <si>
    <t>Расчетный объем наружного КБ</t>
  </si>
  <si>
    <t>Расчетная площадь наружной покраски</t>
  </si>
  <si>
    <t>База проектирования фундамента</t>
  </si>
  <si>
    <t>База проекта деревянных конструкций</t>
  </si>
  <si>
    <t>Объем бетона</t>
  </si>
  <si>
    <t>Объем песка</t>
  </si>
  <si>
    <t>Объем щебня</t>
  </si>
  <si>
    <t>Арматура</t>
  </si>
  <si>
    <t>т</t>
  </si>
  <si>
    <t>Комплекты дренажа по 100 м.п.</t>
  </si>
  <si>
    <t>компл</t>
  </si>
  <si>
    <t>Длина уклонных коммуникаций</t>
  </si>
  <si>
    <t>Геотекстиль 3×50 м</t>
  </si>
  <si>
    <t>рулон</t>
  </si>
  <si>
    <t>Комплекты опалубки</t>
  </si>
  <si>
    <t>1 комплект на каждые 60 м³ бетона</t>
  </si>
  <si>
    <t>XPS 100 мм</t>
  </si>
  <si>
    <t>лист</t>
  </si>
  <si>
    <t>Трактор / экскаватор</t>
  </si>
  <si>
    <t>смена</t>
  </si>
  <si>
    <t>Бетононасос</t>
  </si>
  <si>
    <t>Расчетная площадь кровельных материалов</t>
  </si>
  <si>
    <t>Упаковки Rockwool 0,3 м³</t>
  </si>
  <si>
    <t>уп.</t>
  </si>
  <si>
    <t>Рулоны диффузионной мембраны 75 м²</t>
  </si>
  <si>
    <t>Рулоны пароизоляции 75 м²</t>
  </si>
  <si>
    <t>Объем доски на свесы/наличники</t>
  </si>
  <si>
    <t>ЛКМ фасада и декора</t>
  </si>
  <si>
    <t>л</t>
  </si>
  <si>
    <t>Объем сухой доски и бруска</t>
  </si>
  <si>
    <t>Машины домокомплекта</t>
  </si>
  <si>
    <t>Смены манипулятора</t>
  </si>
  <si>
    <t>Смены крана</t>
  </si>
  <si>
    <t>НОРМАТИВЫ И РРЦ</t>
  </si>
  <si>
    <t>Внутренний справочник. Клиенту формулы не передаются.</t>
  </si>
  <si>
    <t>Клееный брус</t>
  </si>
  <si>
    <t>Клееный брус 200×280 мм, австрийский профиль</t>
  </si>
  <si>
    <t>₽/м³</t>
  </si>
  <si>
    <t>РРЦ эталона</t>
  </si>
  <si>
    <t>https://normabrus.ru/produktsiya/kleenyj-brus/</t>
  </si>
  <si>
    <t>Заводская обработка, изготовление деталей, сверловка, маркировка, упаковка и паллетирование</t>
  </si>
  <si>
    <t>Утверждено 19.09.2026</t>
  </si>
  <si>
    <t>Сопутствующие материалы КБ — общий коэффициент</t>
  </si>
  <si>
    <t>%</t>
  </si>
  <si>
    <t>Сумма коэффициентов строк 7–14</t>
  </si>
  <si>
    <t>Материалы КБ</t>
  </si>
  <si>
    <t>Межвенцовый и чашечный утеплитель</t>
  </si>
  <si>
    <t>% цены КБ</t>
  </si>
  <si>
    <t>Конструкционные саморезы</t>
  </si>
  <si>
    <t>Нагели</t>
  </si>
  <si>
    <t>Монтажный антисептик</t>
  </si>
  <si>
    <t>Состав для обработки торцов типа Teknol JRM</t>
  </si>
  <si>
    <t>Усадочные домкраты и крепеж</t>
  </si>
  <si>
    <t>Подкладная доска</t>
  </si>
  <si>
    <t>Клееная обсада и крепеж скользящих узлов</t>
  </si>
  <si>
    <t>Дерево</t>
  </si>
  <si>
    <t>Клееные конструкционные балки и столбы по проекту</t>
  </si>
  <si>
    <t>Сухой строганый/калиброванный пиломатериал A/B</t>
  </si>
  <si>
    <t>Логистика</t>
  </si>
  <si>
    <t>Доставка домокомплекта</t>
  </si>
  <si>
    <t>₽/машина</t>
  </si>
  <si>
    <t>Норматив загрузки 37 м³</t>
  </si>
  <si>
    <t>Загрузка машины домокомплекта</t>
  </si>
  <si>
    <t>м³/машина</t>
  </si>
  <si>
    <t>Разгрузка манипулятором, размещение, приемка</t>
  </si>
  <si>
    <t>₽/смена</t>
  </si>
  <si>
    <t>1 смена на 3 машины</t>
  </si>
  <si>
    <t>Машин на 1 смену манипулятора</t>
  </si>
  <si>
    <t>Механизация</t>
  </si>
  <si>
    <t>Кран для сборки деревянного конструктива</t>
  </si>
  <si>
    <t>Объем конструктива на смену крана</t>
  </si>
  <si>
    <t>м³/смена</t>
  </si>
  <si>
    <t>Дополнительная резервная смена крана</t>
  </si>
  <si>
    <t>Кровля</t>
  </si>
  <si>
    <t>Монтаж стропильной системы и кровельного покрытия с устройством конструктивных узлов</t>
  </si>
  <si>
    <t>₽/м²</t>
  </si>
  <si>
    <t>Крепеж, скотчи и расходные материалы</t>
  </si>
  <si>
    <t>Норматив от площади кровли</t>
  </si>
  <si>
    <t>Металлическая водосточная система и снегозадержание</t>
  </si>
  <si>
    <t>Доставка кровельных материалов</t>
  </si>
  <si>
    <t>Стройплощадка</t>
  </si>
  <si>
    <t>Аренда, монтаж и демонтаж строительных лесов</t>
  </si>
  <si>
    <t>₽/м² наружных стен</t>
  </si>
  <si>
    <t>Утепление</t>
  </si>
  <si>
    <t>Rockwool Light Batts, уп. 0,3 м³</t>
  </si>
  <si>
    <t>₽/уп.</t>
  </si>
  <si>
    <t>~5% ниже открытого РРЦ</t>
  </si>
  <si>
    <t>https://petrovich.ru/product/106938/</t>
  </si>
  <si>
    <t>Диффузионная мембрана DELTA-XX PLUS UNIVERSA, 75 м²</t>
  </si>
  <si>
    <t>₽/шт</t>
  </si>
  <si>
    <t>Без изменения</t>
  </si>
  <si>
    <t>ЦПЧ Braas с доборными элементами</t>
  </si>
  <si>
    <t>Пароизоляционная мембрана Delta Dawi 200</t>
  </si>
  <si>
    <t>Доска для подшивки свесов и наличников</t>
  </si>
  <si>
    <t>Отделка</t>
  </si>
  <si>
    <t>Лакокрасочные материалы фасада и декора</t>
  </si>
  <si>
    <t>₽/л</t>
  </si>
  <si>
    <t>Окна</t>
  </si>
  <si>
    <t>Комплект ПВХ Rehau Inteleo 80, мультипакет</t>
  </si>
  <si>
    <t>₽/м² остекления</t>
  </si>
  <si>
    <t>Внутренний расчет комплекта</t>
  </si>
  <si>
    <t>Организация бытовки, туалета, ограждения, временной электрики, вывоз мусора</t>
  </si>
  <si>
    <t>₽/объект</t>
  </si>
  <si>
    <t>Проектирование</t>
  </si>
  <si>
    <t>Проектирование фундамента</t>
  </si>
  <si>
    <t>База: теплый контур + террасы с фундаментом</t>
  </si>
  <si>
    <t>Проект деревянных конструкций</t>
  </si>
  <si>
    <t>База: дом + крытые террасы</t>
  </si>
  <si>
    <t>Фундамент</t>
  </si>
  <si>
    <t>Песок с доставкой</t>
  </si>
  <si>
    <t>Бетон B25 F150 W6</t>
  </si>
  <si>
    <t>Материал отдельно от доставки</t>
  </si>
  <si>
    <t>https://spb.betongu.ru/price</t>
  </si>
  <si>
    <t>Доставка бетона</t>
  </si>
  <si>
    <t>Арматура А500С D08–12</t>
  </si>
  <si>
    <t>₽/т</t>
  </si>
  <si>
    <t>Около 5% ниже открытого РРЦ</t>
  </si>
  <si>
    <t>https://spb.mcena.ru/metalloprokat/armatura/a500s-gost-r-52544_dinamica</t>
  </si>
  <si>
    <t>Дренаж</t>
  </si>
  <si>
    <t>Комплект дренажной системы d110 на 100 м.п.</t>
  </si>
  <si>
    <t>₽/компл</t>
  </si>
  <si>
    <t>Труба, углы, фитинги, смотровые/ревизионные колодцы</t>
  </si>
  <si>
    <t>Геотекстиль 250 г/м², 3×50 м</t>
  </si>
  <si>
    <t>₽/рулон</t>
  </si>
  <si>
    <t>Комплект материалов опалубки</t>
  </si>
  <si>
    <t>Гидроизоляционный материал под деревянные конструкции</t>
  </si>
  <si>
    <t>₽/м³ КБ</t>
  </si>
  <si>
    <t>Норматив от объема КБ</t>
  </si>
  <si>
    <t>Расходные материалы и амортизация инструмента</t>
  </si>
  <si>
    <t>₽/м³ бетона</t>
  </si>
  <si>
    <t>Щебень 20–40 мм с доставкой</t>
  </si>
  <si>
    <t>Доставка остальных материалов фундамента</t>
  </si>
  <si>
    <t>Вместо процента от стоимости</t>
  </si>
  <si>
    <t>₽/лист</t>
  </si>
  <si>
    <t>Монтаж XPS</t>
  </si>
  <si>
    <t>Геодезист</t>
  </si>
  <si>
    <t>₽/выезд</t>
  </si>
  <si>
    <t>3 выезда в базе</t>
  </si>
  <si>
    <t>Работа с песком и щебнем</t>
  </si>
  <si>
    <t>Послойная трамбовка и финишное выравнивание</t>
  </si>
  <si>
    <t>Фундаментные работы</t>
  </si>
  <si>
    <t>Устройство и демонтаж опалубки</t>
  </si>
  <si>
    <t>Вязка и монтаж арматурного каркаса</t>
  </si>
  <si>
    <t>Приемка, укладка и вибрирование бетона</t>
  </si>
  <si>
    <t>Ребра, локальные усиления и столбики</t>
  </si>
  <si>
    <t>Нивелировка, финишная обработка и сопутствующие монолитные работы</t>
  </si>
  <si>
    <t>Итого комплекс 18 000 ₽/м³</t>
  </si>
  <si>
    <t>Монтаж гидроизоляции</t>
  </si>
  <si>
    <t>НВК</t>
  </si>
  <si>
    <t>Прокладка уклонных наружных коммуникаций</t>
  </si>
  <si>
    <t>₽/м.п.</t>
  </si>
  <si>
    <t>Дренаж и/или канализация</t>
  </si>
  <si>
    <t>Транспортные расходы строительной бригады</t>
  </si>
  <si>
    <t>₽/мес</t>
  </si>
  <si>
    <t>Оптимальная коммерческая выработка бригады</t>
  </si>
  <si>
    <t>₽ работ/мес</t>
  </si>
  <si>
    <t>Основа расчета продолжительности</t>
  </si>
  <si>
    <t>Утепление кровли 300 мм — работа</t>
  </si>
  <si>
    <t>Монтаж пароизоляции, контробрешетки и обрешетки</t>
  </si>
  <si>
    <t>Монтаж оконных и дверных изделий — комплекс работ</t>
  </si>
  <si>
    <t>Разнос; монтаж; запенивание; утепление и ленты в усадочном зазоре; СТИЗ; внешняя мембрана</t>
  </si>
  <si>
    <t>Отделка карнизов и свесов</t>
  </si>
  <si>
    <t>Фасад</t>
  </si>
  <si>
    <t>Покраска фасада: двойная шлифовка, грунт, краска</t>
  </si>
  <si>
    <t>Работы КБ</t>
  </si>
  <si>
    <t>Базовый монтаж стенового комплекта</t>
  </si>
  <si>
    <t>Утепление чаш</t>
  </si>
  <si>
    <t>Монтаж межвенцового утепления</t>
  </si>
  <si>
    <t>Протяжка бруса конструкционными саморезами</t>
  </si>
  <si>
    <t>Монтаж нагелей для осевой устойчивости</t>
  </si>
  <si>
    <t>Антисептирование наружных стен на период монтажа</t>
  </si>
  <si>
    <t>Обработка торцов составом типа Teknol JRM</t>
  </si>
  <si>
    <t>Монтаж усадочных домкратов</t>
  </si>
  <si>
    <t>Монтаж фахверковых и несущих столбов</t>
  </si>
  <si>
    <t>Монтаж подкладной доски</t>
  </si>
  <si>
    <t>Монтаж клееной обсады на скользящих креплениях</t>
  </si>
  <si>
    <t>Подрезка фронтонов, оконных и дверных проемов</t>
  </si>
  <si>
    <t>Совокупно работы КБ = 19 500 ₽/м³</t>
  </si>
  <si>
    <t>СМЕТНЫЙ РАСЧЕТ</t>
  </si>
  <si>
    <t>Дата:</t>
  </si>
  <si>
    <t>Клееный брус ширина, мм</t>
  </si>
  <si>
    <t>Клееный брус высота, мм</t>
  </si>
  <si>
    <t>280 (270 эффективная)</t>
  </si>
  <si>
    <t>Площадь 0,3 (терраса или балкон)</t>
  </si>
  <si>
    <t>Площадь 0,6 (терраса или балкон под кровлей)</t>
  </si>
  <si>
    <t>Цена за м² приведенной площади</t>
  </si>
  <si>
    <t>Заказчик:</t>
  </si>
  <si>
    <t>Сметная стоимость</t>
  </si>
  <si>
    <t>* не включено строительство заезда</t>
  </si>
  <si>
    <t>Наименование работ и ресурсов</t>
  </si>
  <si>
    <t>Кол-во</t>
  </si>
  <si>
    <t>Ед.изм</t>
  </si>
  <si>
    <t>Цена, руб.</t>
  </si>
  <si>
    <t>Стоимость, руб.</t>
  </si>
  <si>
    <t>Проектные работы</t>
  </si>
  <si>
    <t>1. Проектирование</t>
  </si>
  <si>
    <t>Проект деревянных конструкций на стены, перекрытие и кровлю</t>
  </si>
  <si>
    <t>Фундамент (утепленная плита 300 мм, двойное армирование; лента под террасы 300×600 мм)</t>
  </si>
  <si>
    <t>2. Фундамент — материалы</t>
  </si>
  <si>
    <t>Песок для подушки и обратной засыпки с доставкой</t>
  </si>
  <si>
    <t>Комплект дренажной системы d110 на 100 м.п.: труба, углы, фитинги, ревизионные/смотровые колодцы</t>
  </si>
  <si>
    <t>Материалы на опалубку: доска/щитовой материал, брусок, крепеж, раскосы</t>
  </si>
  <si>
    <t>Комплект закладных инженерных коммуникаций в фундаменте: вода, электрика, канализация, гильзы и фитинги</t>
  </si>
  <si>
    <t>XPS 100 мм: утепление плиты, вертикального торца и зоны отмостки</t>
  </si>
  <si>
    <t>Гидроизоляционный материал под подкладную доску / деревянные конструкции</t>
  </si>
  <si>
    <t>м³ КБ</t>
  </si>
  <si>
    <t>м³ бетона</t>
  </si>
  <si>
    <t>Аренда трактора / экскаватора</t>
  </si>
  <si>
    <t>Аренда бетононасоса</t>
  </si>
  <si>
    <t>Накладные и транспортные расходы фундаментной бригады</t>
  </si>
  <si>
    <t>месяц</t>
  </si>
  <si>
    <t>3. Фундамент — работы</t>
  </si>
  <si>
    <t>3.1 Земляные работы</t>
  </si>
  <si>
    <t>Измерения и расстановка осей геодезистом</t>
  </si>
  <si>
    <t>выезд</t>
  </si>
  <si>
    <t>Работа с песком и щебнем: послойная трамбовка, финишное выравнивание</t>
  </si>
  <si>
    <t>3.2 Монолитные работы</t>
  </si>
  <si>
    <t>Устройство ребер, локальных усилений и столбиков</t>
  </si>
  <si>
    <t>Утепление фундамента XPS 100 мм</t>
  </si>
  <si>
    <t>3.3 Завершение фундаментных работ</t>
  </si>
  <si>
    <t>Прокладка уклонных наружных коммуникаций: дренаж и/или канализация, траншеи, уклоны, укладка труб, обратная засыпка</t>
  </si>
  <si>
    <t>Комплект конструктива дома</t>
  </si>
  <si>
    <t>4. Материалы деревянные для стен</t>
  </si>
  <si>
    <t>Клееный брус 200×280 мм, эффективная высота венца 270 мм, австрийский профиль</t>
  </si>
  <si>
    <t>4.1 Заводская обработка и логистика домокомплекта</t>
  </si>
  <si>
    <t>Заводская обработка и изготовление деталей: нарезка по проекту, соединения, сверловка, маркировка, упаковка и паллетирование</t>
  </si>
  <si>
    <t>Доставка комплекта дома</t>
  </si>
  <si>
    <t>машина</t>
  </si>
  <si>
    <t>Разгрузка манипулятором, размещение материала на участке и приемка домокомплекта</t>
  </si>
  <si>
    <t>4.2 Стропильная система</t>
  </si>
  <si>
    <t>Клееные конструкционные балки и столбы по проекту, заводское изготовление</t>
  </si>
  <si>
    <t>Сухой пиломатериал камерной сушки, строганый/калиброванный, сорт A/B</t>
  </si>
  <si>
    <t>Тепловой контур — материалы, комплектуемые в СПб</t>
  </si>
  <si>
    <t>6.1 Кровельные и изоляционные материалы</t>
  </si>
  <si>
    <t>Базальтовая вата Rockwool Light Batts (уп. 0,3 м³) для утепления 300 мм</t>
  </si>
  <si>
    <t>Лакокрасочные материалы для фасада и декора</t>
  </si>
  <si>
    <t>Кровля ЦПЧ Braas, включая стартовые, коньковые, боковые элементы и вентиляционные черепицы</t>
  </si>
  <si>
    <t>Крепеж, скотчи и расходные материалы кровли</t>
  </si>
  <si>
    <t>Металлическая водосточная система и система снегозадержания</t>
  </si>
  <si>
    <t>6.2 Комплект окон и балконных дверей по проекту</t>
  </si>
  <si>
    <t>Комплект окон ПВХ Rehau Inteleo 80 мм, мультипакет</t>
  </si>
  <si>
    <t>6.3 Остальные материалы и механизация</t>
  </si>
  <si>
    <t>м² наружных стен</t>
  </si>
  <si>
    <t>Аренда крана для сборки деревянного конструктива</t>
  </si>
  <si>
    <t>м² кровли</t>
  </si>
  <si>
    <t>Организация стройплощадки: бытовка, туалет, временное ограждение, временная электрика, вывоз мусора</t>
  </si>
  <si>
    <t>7.1 Работы по тепловому контуру</t>
  </si>
  <si>
    <t>Базовый монтаж стенового комплекта из клееного бруса</t>
  </si>
  <si>
    <t>Протяжка бруса конструкционными саморезами для сокращения усадки</t>
  </si>
  <si>
    <t>Монтаж клееной обсады на скользящих креплениях оконных и дверных проемов по вертикали</t>
  </si>
  <si>
    <t>Утепление кровли 300 мм</t>
  </si>
  <si>
    <t>Монтаж оконных и дверных изделий: разнос; монтаж; запенивание снизу/по бокам; утепление и ленты в усадочном зазоре; СТИЗ; внешняя мембрана</t>
  </si>
  <si>
    <t>Отделка карнизов и свесов кровли</t>
  </si>
  <si>
    <t>Объем КДК вне стен (стропила + конструкционный КБ)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</si>
</sst>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₽&quot;"/>
    <numFmt numFmtId="165" formatCode="#,##0\ &quot;₽/м²&quot;"/>
  </numFmts>
  <fonts count="8">
    <font>
      <sz val="11"/>
      <name val="Carlito"/>
    </font>
    <font>
      <sz val="10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b/>
      <sz val="10"/>
      <color rgb="FF000000"/>
      <name val="Arial"/>
      <family val="2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D9EAF7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1" fillId="0" borderId="0" xfId="1" applyFont="1"/>
    <xf numFmtId="0" fontId="1" fillId="0" borderId="0" xfId="1" applyFont="1" applyAlignment="1">
      <alignment wrapText="1"/>
    </xf>
    <xf numFmtId="0" fontId="1" fillId="0" borderId="1" xfId="1" applyFont="1" applyBorder="1" applyAlignment="1">
      <alignment wrapText="1"/>
    </xf>
    <xf numFmtId="0" fontId="1" fillId="0" borderId="2" xfId="1" applyFont="1" applyBorder="1" applyAlignment="1">
      <alignment wrapText="1"/>
    </xf>
    <xf numFmtId="0" fontId="1" fillId="0" borderId="3" xfId="1" applyFont="1" applyBorder="1" applyAlignment="1">
      <alignment wrapText="1"/>
    </xf>
    <xf numFmtId="0" fontId="1" fillId="0" borderId="4" xfId="1" applyFont="1" applyBorder="1" applyAlignment="1">
      <alignment wrapText="1"/>
    </xf>
    <xf numFmtId="0" fontId="1" fillId="0" borderId="5" xfId="1" applyFont="1" applyBorder="1" applyAlignment="1">
      <alignment wrapText="1"/>
    </xf>
    <xf numFmtId="0" fontId="1" fillId="0" borderId="6" xfId="1" applyFont="1" applyBorder="1" applyAlignment="1">
      <alignment wrapText="1"/>
    </xf>
    <xf numFmtId="0" fontId="1" fillId="0" borderId="7" xfId="1" applyFont="1" applyBorder="1" applyAlignment="1">
      <alignment wrapText="1"/>
    </xf>
    <xf numFmtId="0" fontId="1" fillId="0" borderId="8" xfId="1" applyFont="1" applyBorder="1" applyAlignment="1">
      <alignment wrapText="1"/>
    </xf>
    <xf numFmtId="0" fontId="3" fillId="3" borderId="4" xfId="1" applyFont="1" applyFill="1" applyBorder="1" applyAlignment="1">
      <alignment wrapText="1"/>
    </xf>
    <xf numFmtId="0" fontId="3" fillId="3" borderId="0" xfId="1" applyFont="1" applyFill="1" applyAlignment="1">
      <alignment wrapText="1"/>
    </xf>
    <xf numFmtId="0" fontId="3" fillId="3" borderId="5" xfId="1" applyFont="1" applyFill="1" applyBorder="1" applyAlignment="1">
      <alignment wrapText="1"/>
    </xf>
    <xf numFmtId="0" fontId="4" fillId="0" borderId="4" xfId="1" applyFont="1" applyBorder="1" applyAlignment="1">
      <alignment wrapText="1"/>
    </xf>
    <xf numFmtId="4" fontId="1" fillId="4" borderId="0" xfId="1" applyNumberFormat="1" applyFont="1" applyFill="1" applyAlignment="1">
      <alignment wrapText="1"/>
    </xf>
    <xf numFmtId="4" fontId="1" fillId="0" borderId="0" xfId="1" applyNumberFormat="1" applyFont="1" applyAlignment="1">
      <alignment wrapText="1"/>
    </xf>
    <xf numFmtId="4" fontId="3" fillId="3" borderId="0" xfId="1" applyNumberFormat="1" applyFont="1" applyFill="1" applyAlignment="1">
      <alignment wrapText="1"/>
    </xf>
    <xf numFmtId="4" fontId="1" fillId="5" borderId="0" xfId="1" applyNumberFormat="1" applyFont="1" applyFill="1" applyAlignment="1">
      <alignment wrapText="1"/>
    </xf>
    <xf numFmtId="4" fontId="1" fillId="5" borderId="7" xfId="1" applyNumberFormat="1" applyFont="1" applyFill="1" applyBorder="1" applyAlignment="1">
      <alignment wrapText="1"/>
    </xf>
    <xf numFmtId="49" fontId="1" fillId="4" borderId="0" xfId="1" applyNumberFormat="1" applyFont="1" applyFill="1" applyAlignment="1">
      <alignment wrapText="1"/>
    </xf>
    <xf numFmtId="4" fontId="1" fillId="0" borderId="7" xfId="1" applyNumberFormat="1" applyFont="1" applyBorder="1" applyAlignment="1">
      <alignment wrapText="1"/>
    </xf>
    <xf numFmtId="10" fontId="1" fillId="0" borderId="0" xfId="1" applyNumberFormat="1" applyFont="1" applyAlignment="1">
      <alignment wrapText="1"/>
    </xf>
    <xf numFmtId="0" fontId="3" fillId="2" borderId="4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wrapText="1"/>
    </xf>
    <xf numFmtId="0" fontId="3" fillId="2" borderId="5" xfId="1" applyFont="1" applyFill="1" applyBorder="1" applyAlignment="1">
      <alignment horizontal="center" wrapText="1"/>
    </xf>
    <xf numFmtId="0" fontId="6" fillId="6" borderId="4" xfId="1" applyFont="1" applyFill="1" applyBorder="1" applyAlignment="1">
      <alignment wrapText="1"/>
    </xf>
    <xf numFmtId="0" fontId="4" fillId="0" borderId="0" xfId="1" applyFont="1" applyAlignment="1">
      <alignment wrapText="1"/>
    </xf>
    <xf numFmtId="0" fontId="4" fillId="0" borderId="5" xfId="1" applyFont="1" applyBorder="1" applyAlignment="1">
      <alignment wrapText="1"/>
    </xf>
    <xf numFmtId="164" fontId="4" fillId="0" borderId="0" xfId="1" applyNumberFormat="1" applyFont="1" applyAlignment="1">
      <alignment wrapText="1"/>
    </xf>
    <xf numFmtId="165" fontId="1" fillId="0" borderId="0" xfId="1" applyNumberFormat="1" applyFont="1" applyAlignment="1">
      <alignment wrapText="1"/>
    </xf>
    <xf numFmtId="164" fontId="3" fillId="3" borderId="0" xfId="1" applyNumberFormat="1" applyFont="1" applyFill="1" applyAlignment="1">
      <alignment wrapText="1"/>
    </xf>
    <xf numFmtId="164" fontId="3" fillId="3" borderId="5" xfId="1" applyNumberFormat="1" applyFont="1" applyFill="1" applyBorder="1" applyAlignment="1">
      <alignment wrapText="1"/>
    </xf>
    <xf numFmtId="4" fontId="6" fillId="6" borderId="0" xfId="1" applyNumberFormat="1" applyFont="1" applyFill="1" applyAlignment="1">
      <alignment horizontal="right" wrapText="1"/>
    </xf>
    <xf numFmtId="164" fontId="6" fillId="6" borderId="0" xfId="1" applyNumberFormat="1" applyFont="1" applyFill="1" applyAlignment="1">
      <alignment horizontal="right" wrapText="1"/>
    </xf>
    <xf numFmtId="164" fontId="6" fillId="6" borderId="5" xfId="1" applyNumberFormat="1" applyFont="1" applyFill="1" applyBorder="1" applyAlignment="1">
      <alignment horizontal="right" wrapText="1"/>
    </xf>
    <xf numFmtId="4" fontId="1" fillId="0" borderId="0" xfId="1" applyNumberFormat="1" applyFont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64" fontId="1" fillId="0" borderId="5" xfId="1" applyNumberFormat="1" applyFont="1" applyBorder="1" applyAlignment="1">
      <alignment horizontal="right" wrapText="1"/>
    </xf>
    <xf numFmtId="4" fontId="3" fillId="3" borderId="0" xfId="1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164" fontId="3" fillId="3" borderId="5" xfId="1" applyNumberFormat="1" applyFont="1" applyFill="1" applyBorder="1" applyAlignment="1">
      <alignment horizontal="right" wrapText="1"/>
    </xf>
    <xf numFmtId="4" fontId="1" fillId="0" borderId="7" xfId="1" applyNumberFormat="1" applyFont="1" applyBorder="1" applyAlignment="1">
      <alignment horizontal="right" wrapText="1"/>
    </xf>
    <xf numFmtId="164" fontId="1" fillId="0" borderId="7" xfId="1" applyNumberFormat="1" applyFont="1" applyBorder="1" applyAlignment="1">
      <alignment horizontal="right" wrapText="1"/>
    </xf>
    <xf numFmtId="164" fontId="1" fillId="0" borderId="8" xfId="1" applyNumberFormat="1" applyFont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14" fontId="1" fillId="0" borderId="0" xfId="1" applyNumberFormat="1" applyFont="1" applyAlignment="1">
      <alignment wrapText="1"/>
    </xf>
  </cellXfs>
  <cellStyles count="2">
    <cellStyle name="Обычный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0"/>
  <sheetViews>
    <sheetView tabSelected="1" topLeftCell="A53" workbookViewId="0">
      <selection activeCell="B3" sqref="B3"/>
    </sheetView>
  </sheetViews>
  <sheetFormatPr baseColWidth="10" defaultColWidth="8.83203125" defaultRowHeight="14"/>
  <cols>
    <col min="1" max="1" width="18" customWidth="1"/>
    <col min="2" max="2" width="52" customWidth="1"/>
    <col min="3" max="4" width="16" customWidth="1"/>
    <col min="5" max="5" width="12" customWidth="1"/>
    <col min="6" max="6" width="42" customWidth="1"/>
    <col min="7" max="7" width="45" customWidth="1"/>
  </cols>
  <sheetData>
    <row r="1" spans="1:26" ht="18">
      <c r="A1" s="45" t="s">
        <v>68</v>
      </c>
      <c r="B1" s="46"/>
      <c r="C1" s="46"/>
      <c r="D1" s="46"/>
      <c r="E1" s="46"/>
      <c r="F1" s="46"/>
      <c r="G1" s="4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>
      <c r="A2" s="6" t="s">
        <v>1</v>
      </c>
      <c r="B2" s="51">
        <v>46316</v>
      </c>
      <c r="C2" s="2"/>
      <c r="D2" s="2"/>
      <c r="E2" s="2"/>
      <c r="F2" s="2" t="s">
        <v>69</v>
      </c>
      <c r="G2" s="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6"/>
      <c r="B3" s="2"/>
      <c r="C3" s="2"/>
      <c r="D3" s="2"/>
      <c r="E3" s="2"/>
      <c r="F3" s="2"/>
      <c r="G3" s="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6" t="s">
        <v>70</v>
      </c>
      <c r="B4" s="2" t="s">
        <v>71</v>
      </c>
      <c r="C4" s="2" t="s">
        <v>72</v>
      </c>
      <c r="D4" s="16">
        <v>64000</v>
      </c>
      <c r="E4" s="2"/>
      <c r="F4" s="2" t="s">
        <v>73</v>
      </c>
      <c r="G4" s="7" t="s">
        <v>74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">
      <c r="A5" s="6" t="s">
        <v>70</v>
      </c>
      <c r="B5" s="2" t="s">
        <v>75</v>
      </c>
      <c r="C5" s="2" t="s">
        <v>72</v>
      </c>
      <c r="D5" s="16">
        <v>8430</v>
      </c>
      <c r="E5" s="2"/>
      <c r="F5" s="2" t="s">
        <v>76</v>
      </c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6" t="s">
        <v>70</v>
      </c>
      <c r="B6" s="2" t="s">
        <v>77</v>
      </c>
      <c r="C6" s="2" t="s">
        <v>78</v>
      </c>
      <c r="D6" s="22">
        <v>0.1043</v>
      </c>
      <c r="E6" s="2"/>
      <c r="F6" s="2" t="s">
        <v>79</v>
      </c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6" t="s">
        <v>80</v>
      </c>
      <c r="B7" s="2" t="s">
        <v>81</v>
      </c>
      <c r="C7" s="2" t="s">
        <v>82</v>
      </c>
      <c r="D7" s="22">
        <v>1.2E-2</v>
      </c>
      <c r="E7" s="2"/>
      <c r="F7" s="2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80</v>
      </c>
      <c r="B8" s="2" t="s">
        <v>83</v>
      </c>
      <c r="C8" s="2" t="s">
        <v>82</v>
      </c>
      <c r="D8" s="22">
        <v>2.7E-2</v>
      </c>
      <c r="E8" s="2"/>
      <c r="F8" s="2"/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80</v>
      </c>
      <c r="B9" s="2" t="s">
        <v>84</v>
      </c>
      <c r="C9" s="2" t="s">
        <v>82</v>
      </c>
      <c r="D9" s="22">
        <v>0.01</v>
      </c>
      <c r="E9" s="2"/>
      <c r="F9" s="2"/>
      <c r="G9" s="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80</v>
      </c>
      <c r="B10" s="2" t="s">
        <v>85</v>
      </c>
      <c r="C10" s="2" t="s">
        <v>82</v>
      </c>
      <c r="D10" s="22">
        <v>1.2E-2</v>
      </c>
      <c r="E10" s="2"/>
      <c r="F10" s="2"/>
      <c r="G10" s="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80</v>
      </c>
      <c r="B11" s="2" t="s">
        <v>86</v>
      </c>
      <c r="C11" s="2" t="s">
        <v>82</v>
      </c>
      <c r="D11" s="22">
        <v>7.4999999999999997E-3</v>
      </c>
      <c r="E11" s="2"/>
      <c r="F11" s="2"/>
      <c r="G11" s="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80</v>
      </c>
      <c r="B12" s="2" t="s">
        <v>87</v>
      </c>
      <c r="C12" s="2" t="s">
        <v>82</v>
      </c>
      <c r="D12" s="22">
        <v>8.9999999999999993E-3</v>
      </c>
      <c r="E12" s="2"/>
      <c r="F12" s="2"/>
      <c r="G12" s="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80</v>
      </c>
      <c r="B13" s="2" t="s">
        <v>88</v>
      </c>
      <c r="C13" s="2" t="s">
        <v>82</v>
      </c>
      <c r="D13" s="22">
        <v>8.5000000000000006E-3</v>
      </c>
      <c r="E13" s="2"/>
      <c r="F13" s="2"/>
      <c r="G13" s="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80</v>
      </c>
      <c r="B14" s="2" t="s">
        <v>89</v>
      </c>
      <c r="C14" s="2" t="s">
        <v>82</v>
      </c>
      <c r="D14" s="22">
        <v>1.83E-2</v>
      </c>
      <c r="E14" s="2"/>
      <c r="F14" s="2"/>
      <c r="G14" s="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90</v>
      </c>
      <c r="B15" s="2" t="s">
        <v>91</v>
      </c>
      <c r="C15" s="2" t="s">
        <v>72</v>
      </c>
      <c r="D15" s="16">
        <v>75000</v>
      </c>
      <c r="E15" s="2"/>
      <c r="F15" s="2" t="s">
        <v>76</v>
      </c>
      <c r="G15" s="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90</v>
      </c>
      <c r="B16" s="2" t="s">
        <v>92</v>
      </c>
      <c r="C16" s="2" t="s">
        <v>72</v>
      </c>
      <c r="D16" s="16">
        <v>47000</v>
      </c>
      <c r="E16" s="2"/>
      <c r="F16" s="2" t="s">
        <v>76</v>
      </c>
      <c r="G16" s="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 t="s">
        <v>93</v>
      </c>
      <c r="B17" s="2" t="s">
        <v>94</v>
      </c>
      <c r="C17" s="2" t="s">
        <v>95</v>
      </c>
      <c r="D17" s="16">
        <v>118000</v>
      </c>
      <c r="E17" s="2"/>
      <c r="F17" s="2" t="s">
        <v>96</v>
      </c>
      <c r="G17" s="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93</v>
      </c>
      <c r="B18" s="2" t="s">
        <v>97</v>
      </c>
      <c r="C18" s="2" t="s">
        <v>98</v>
      </c>
      <c r="D18" s="16">
        <v>37</v>
      </c>
      <c r="E18" s="2"/>
      <c r="F18" s="2"/>
      <c r="G18" s="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6" t="s">
        <v>93</v>
      </c>
      <c r="B19" s="2" t="s">
        <v>99</v>
      </c>
      <c r="C19" s="2" t="s">
        <v>100</v>
      </c>
      <c r="D19" s="16">
        <v>65000</v>
      </c>
      <c r="E19" s="2"/>
      <c r="F19" s="2" t="s">
        <v>101</v>
      </c>
      <c r="G19" s="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" t="s">
        <v>93</v>
      </c>
      <c r="B20" s="2" t="s">
        <v>102</v>
      </c>
      <c r="C20" s="2" t="s">
        <v>18</v>
      </c>
      <c r="D20" s="16">
        <v>3</v>
      </c>
      <c r="E20" s="2"/>
      <c r="F20" s="2"/>
      <c r="G20" s="7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6" t="s">
        <v>103</v>
      </c>
      <c r="B21" s="2" t="s">
        <v>104</v>
      </c>
      <c r="C21" s="2" t="s">
        <v>100</v>
      </c>
      <c r="D21" s="16">
        <v>42000</v>
      </c>
      <c r="E21" s="2"/>
      <c r="F21" s="2"/>
      <c r="G21" s="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103</v>
      </c>
      <c r="B22" s="2" t="s">
        <v>105</v>
      </c>
      <c r="C22" s="2" t="s">
        <v>106</v>
      </c>
      <c r="D22" s="16">
        <v>8</v>
      </c>
      <c r="E22" s="2"/>
      <c r="F22" s="2"/>
      <c r="G22" s="7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103</v>
      </c>
      <c r="B23" s="2" t="s">
        <v>107</v>
      </c>
      <c r="C23" s="2" t="s">
        <v>54</v>
      </c>
      <c r="D23" s="16">
        <v>1</v>
      </c>
      <c r="E23" s="2"/>
      <c r="F23" s="2"/>
      <c r="G23" s="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8">
      <c r="A24" s="6" t="s">
        <v>108</v>
      </c>
      <c r="B24" s="2" t="s">
        <v>109</v>
      </c>
      <c r="C24" s="2" t="s">
        <v>110</v>
      </c>
      <c r="D24" s="16">
        <v>5900</v>
      </c>
      <c r="E24" s="2"/>
      <c r="F24" s="2" t="s">
        <v>76</v>
      </c>
      <c r="G24" s="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6" t="s">
        <v>108</v>
      </c>
      <c r="B25" s="2" t="s">
        <v>111</v>
      </c>
      <c r="C25" s="2" t="s">
        <v>110</v>
      </c>
      <c r="D25" s="16">
        <v>650</v>
      </c>
      <c r="E25" s="2"/>
      <c r="F25" s="2" t="s">
        <v>112</v>
      </c>
      <c r="G25" s="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108</v>
      </c>
      <c r="B26" s="2" t="s">
        <v>113</v>
      </c>
      <c r="C26" s="2" t="s">
        <v>110</v>
      </c>
      <c r="D26" s="16">
        <v>1600</v>
      </c>
      <c r="E26" s="2"/>
      <c r="F26" s="2" t="s">
        <v>112</v>
      </c>
      <c r="G26" s="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108</v>
      </c>
      <c r="B27" s="2" t="s">
        <v>114</v>
      </c>
      <c r="C27" s="2" t="s">
        <v>110</v>
      </c>
      <c r="D27" s="16">
        <v>450</v>
      </c>
      <c r="E27" s="2"/>
      <c r="F27" s="2" t="s">
        <v>112</v>
      </c>
      <c r="G27" s="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8">
      <c r="A28" s="6" t="s">
        <v>115</v>
      </c>
      <c r="B28" s="2" t="s">
        <v>116</v>
      </c>
      <c r="C28" s="2" t="s">
        <v>117</v>
      </c>
      <c r="D28" s="16">
        <v>650</v>
      </c>
      <c r="E28" s="2"/>
      <c r="F28" s="2"/>
      <c r="G28" s="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118</v>
      </c>
      <c r="B29" s="2" t="s">
        <v>119</v>
      </c>
      <c r="C29" s="2" t="s">
        <v>120</v>
      </c>
      <c r="D29" s="16">
        <v>2070</v>
      </c>
      <c r="E29" s="2"/>
      <c r="F29" s="2" t="s">
        <v>121</v>
      </c>
      <c r="G29" s="7" t="s">
        <v>122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108</v>
      </c>
      <c r="B30" s="2" t="s">
        <v>123</v>
      </c>
      <c r="C30" s="2" t="s">
        <v>124</v>
      </c>
      <c r="D30" s="16">
        <v>18450</v>
      </c>
      <c r="E30" s="2"/>
      <c r="F30" s="2" t="s">
        <v>125</v>
      </c>
      <c r="G30" s="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108</v>
      </c>
      <c r="B31" s="2" t="s">
        <v>126</v>
      </c>
      <c r="C31" s="2" t="s">
        <v>110</v>
      </c>
      <c r="D31" s="16">
        <v>4850</v>
      </c>
      <c r="E31" s="2"/>
      <c r="F31" s="2" t="s">
        <v>125</v>
      </c>
      <c r="G31" s="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108</v>
      </c>
      <c r="B32" s="2" t="s">
        <v>127</v>
      </c>
      <c r="C32" s="2" t="s">
        <v>124</v>
      </c>
      <c r="D32" s="16">
        <v>7500</v>
      </c>
      <c r="E32" s="2"/>
      <c r="F32" s="2" t="s">
        <v>125</v>
      </c>
      <c r="G32" s="7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90</v>
      </c>
      <c r="B33" s="2" t="s">
        <v>128</v>
      </c>
      <c r="C33" s="2" t="s">
        <v>72</v>
      </c>
      <c r="D33" s="16">
        <v>50000</v>
      </c>
      <c r="E33" s="2"/>
      <c r="F33" s="2" t="s">
        <v>125</v>
      </c>
      <c r="G33" s="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129</v>
      </c>
      <c r="B34" s="2" t="s">
        <v>130</v>
      </c>
      <c r="C34" s="2" t="s">
        <v>131</v>
      </c>
      <c r="D34" s="16">
        <v>2250</v>
      </c>
      <c r="E34" s="2"/>
      <c r="F34" s="2" t="s">
        <v>125</v>
      </c>
      <c r="G34" s="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132</v>
      </c>
      <c r="B35" s="2" t="s">
        <v>133</v>
      </c>
      <c r="C35" s="2" t="s">
        <v>134</v>
      </c>
      <c r="D35" s="16">
        <v>38000</v>
      </c>
      <c r="E35" s="2"/>
      <c r="F35" s="2" t="s">
        <v>135</v>
      </c>
      <c r="G35" s="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8">
      <c r="A36" s="6" t="s">
        <v>115</v>
      </c>
      <c r="B36" s="2" t="s">
        <v>136</v>
      </c>
      <c r="C36" s="2" t="s">
        <v>137</v>
      </c>
      <c r="D36" s="16">
        <v>225400</v>
      </c>
      <c r="E36" s="2"/>
      <c r="F36" s="2" t="s">
        <v>76</v>
      </c>
      <c r="G36" s="7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138</v>
      </c>
      <c r="B37" s="2" t="s">
        <v>139</v>
      </c>
      <c r="C37" s="2" t="s">
        <v>110</v>
      </c>
      <c r="D37" s="16">
        <v>900</v>
      </c>
      <c r="E37" s="2"/>
      <c r="F37" s="2" t="s">
        <v>140</v>
      </c>
      <c r="G37" s="7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138</v>
      </c>
      <c r="B38" s="2" t="s">
        <v>141</v>
      </c>
      <c r="C38" s="2" t="s">
        <v>110</v>
      </c>
      <c r="D38" s="16">
        <v>1200</v>
      </c>
      <c r="E38" s="2"/>
      <c r="F38" s="2" t="s">
        <v>142</v>
      </c>
      <c r="G38" s="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6" t="s">
        <v>143</v>
      </c>
      <c r="B39" s="2" t="s">
        <v>144</v>
      </c>
      <c r="C39" s="2" t="s">
        <v>72</v>
      </c>
      <c r="D39" s="16">
        <v>1300</v>
      </c>
      <c r="E39" s="2"/>
      <c r="F39" s="2" t="s">
        <v>76</v>
      </c>
      <c r="G39" s="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6" t="s">
        <v>143</v>
      </c>
      <c r="B40" s="2" t="s">
        <v>145</v>
      </c>
      <c r="C40" s="2" t="s">
        <v>72</v>
      </c>
      <c r="D40" s="16">
        <v>6400</v>
      </c>
      <c r="E40" s="2"/>
      <c r="F40" s="2" t="s">
        <v>146</v>
      </c>
      <c r="G40" s="7" t="s">
        <v>147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6" t="s">
        <v>143</v>
      </c>
      <c r="B41" s="2" t="s">
        <v>148</v>
      </c>
      <c r="C41" s="2" t="s">
        <v>72</v>
      </c>
      <c r="D41" s="16">
        <v>900</v>
      </c>
      <c r="E41" s="2"/>
      <c r="F41" s="2" t="s">
        <v>76</v>
      </c>
      <c r="G41" s="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8">
      <c r="A42" s="6" t="s">
        <v>143</v>
      </c>
      <c r="B42" s="2" t="s">
        <v>149</v>
      </c>
      <c r="C42" s="2" t="s">
        <v>150</v>
      </c>
      <c r="D42" s="16">
        <v>72500</v>
      </c>
      <c r="E42" s="2"/>
      <c r="F42" s="2" t="s">
        <v>151</v>
      </c>
      <c r="G42" s="7" t="s">
        <v>152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8">
      <c r="A43" s="6" t="s">
        <v>153</v>
      </c>
      <c r="B43" s="2" t="s">
        <v>154</v>
      </c>
      <c r="C43" s="2" t="s">
        <v>155</v>
      </c>
      <c r="D43" s="16">
        <v>43500</v>
      </c>
      <c r="E43" s="2"/>
      <c r="F43" s="2" t="s">
        <v>156</v>
      </c>
      <c r="G43" s="7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6" t="s">
        <v>143</v>
      </c>
      <c r="B44" s="2" t="s">
        <v>157</v>
      </c>
      <c r="C44" s="2" t="s">
        <v>158</v>
      </c>
      <c r="D44" s="16">
        <v>12000</v>
      </c>
      <c r="E44" s="2"/>
      <c r="F44" s="2" t="s">
        <v>125</v>
      </c>
      <c r="G44" s="7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6" t="s">
        <v>143</v>
      </c>
      <c r="B45" s="2" t="s">
        <v>159</v>
      </c>
      <c r="C45" s="2" t="s">
        <v>155</v>
      </c>
      <c r="D45" s="16">
        <v>45900</v>
      </c>
      <c r="E45" s="2"/>
      <c r="F45" s="2" t="s">
        <v>50</v>
      </c>
      <c r="G45" s="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6" t="s">
        <v>143</v>
      </c>
      <c r="B46" s="2" t="s">
        <v>160</v>
      </c>
      <c r="C46" s="2" t="s">
        <v>161</v>
      </c>
      <c r="D46" s="16">
        <v>450</v>
      </c>
      <c r="E46" s="2"/>
      <c r="F46" s="2" t="s">
        <v>162</v>
      </c>
      <c r="G46" s="7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6" t="s">
        <v>143</v>
      </c>
      <c r="B47" s="2" t="s">
        <v>163</v>
      </c>
      <c r="C47" s="2" t="s">
        <v>164</v>
      </c>
      <c r="D47" s="16">
        <v>900</v>
      </c>
      <c r="E47" s="2"/>
      <c r="F47" s="2" t="s">
        <v>76</v>
      </c>
      <c r="G47" s="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6" t="s">
        <v>143</v>
      </c>
      <c r="B48" s="2" t="s">
        <v>165</v>
      </c>
      <c r="C48" s="2" t="s">
        <v>72</v>
      </c>
      <c r="D48" s="16">
        <v>2600</v>
      </c>
      <c r="E48" s="2"/>
      <c r="F48" s="2" t="s">
        <v>76</v>
      </c>
      <c r="G48" s="7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6" t="s">
        <v>143</v>
      </c>
      <c r="B49" s="2" t="s">
        <v>166</v>
      </c>
      <c r="C49" s="2" t="s">
        <v>164</v>
      </c>
      <c r="D49" s="16">
        <v>1500</v>
      </c>
      <c r="E49" s="2"/>
      <c r="F49" s="2" t="s">
        <v>167</v>
      </c>
      <c r="G49" s="7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6" t="s">
        <v>103</v>
      </c>
      <c r="B50" s="2" t="s">
        <v>53</v>
      </c>
      <c r="C50" s="2" t="s">
        <v>100</v>
      </c>
      <c r="D50" s="16">
        <v>35000</v>
      </c>
      <c r="E50" s="2"/>
      <c r="F50" s="2" t="s">
        <v>125</v>
      </c>
      <c r="G50" s="7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6" t="s">
        <v>103</v>
      </c>
      <c r="B51" s="2" t="s">
        <v>55</v>
      </c>
      <c r="C51" s="2" t="s">
        <v>100</v>
      </c>
      <c r="D51" s="16">
        <v>33000</v>
      </c>
      <c r="E51" s="2"/>
      <c r="F51" s="2" t="s">
        <v>125</v>
      </c>
      <c r="G51" s="7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6" t="s">
        <v>143</v>
      </c>
      <c r="B52" s="2" t="s">
        <v>51</v>
      </c>
      <c r="C52" s="2" t="s">
        <v>168</v>
      </c>
      <c r="D52" s="16">
        <v>699</v>
      </c>
      <c r="E52" s="2"/>
      <c r="F52" s="2" t="s">
        <v>125</v>
      </c>
      <c r="G52" s="7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6" t="s">
        <v>143</v>
      </c>
      <c r="B53" s="2" t="s">
        <v>169</v>
      </c>
      <c r="C53" s="2" t="s">
        <v>168</v>
      </c>
      <c r="D53" s="16">
        <v>250</v>
      </c>
      <c r="E53" s="2"/>
      <c r="F53" s="2" t="s">
        <v>125</v>
      </c>
      <c r="G53" s="7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6" t="s">
        <v>143</v>
      </c>
      <c r="B54" s="2" t="s">
        <v>170</v>
      </c>
      <c r="C54" s="2" t="s">
        <v>171</v>
      </c>
      <c r="D54" s="16">
        <v>18000</v>
      </c>
      <c r="E54" s="2"/>
      <c r="F54" s="2" t="s">
        <v>172</v>
      </c>
      <c r="G54" s="7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8">
      <c r="A55" s="6" t="s">
        <v>143</v>
      </c>
      <c r="B55" s="2" t="s">
        <v>173</v>
      </c>
      <c r="C55" s="2" t="s">
        <v>72</v>
      </c>
      <c r="D55" s="16">
        <v>600</v>
      </c>
      <c r="E55" s="2"/>
      <c r="F55" s="2" t="s">
        <v>174</v>
      </c>
      <c r="G55" s="7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8">
      <c r="A56" s="6" t="s">
        <v>175</v>
      </c>
      <c r="B56" s="2" t="s">
        <v>176</v>
      </c>
      <c r="C56" s="2" t="s">
        <v>164</v>
      </c>
      <c r="D56" s="16">
        <v>4000</v>
      </c>
      <c r="E56" s="2"/>
      <c r="F56" s="2"/>
      <c r="G56" s="7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8">
      <c r="A57" s="6" t="s">
        <v>175</v>
      </c>
      <c r="B57" s="2" t="s">
        <v>177</v>
      </c>
      <c r="C57" s="2" t="s">
        <v>164</v>
      </c>
      <c r="D57" s="16">
        <v>5000</v>
      </c>
      <c r="E57" s="2"/>
      <c r="F57" s="2"/>
      <c r="G57" s="7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8">
      <c r="A58" s="6" t="s">
        <v>175</v>
      </c>
      <c r="B58" s="2" t="s">
        <v>178</v>
      </c>
      <c r="C58" s="2" t="s">
        <v>164</v>
      </c>
      <c r="D58" s="16">
        <v>3500</v>
      </c>
      <c r="E58" s="2"/>
      <c r="F58" s="2"/>
      <c r="G58" s="7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8">
      <c r="A59" s="6" t="s">
        <v>175</v>
      </c>
      <c r="B59" s="2" t="s">
        <v>179</v>
      </c>
      <c r="C59" s="2" t="s">
        <v>164</v>
      </c>
      <c r="D59" s="16">
        <v>3000</v>
      </c>
      <c r="E59" s="2"/>
      <c r="F59" s="2"/>
      <c r="G59" s="7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8">
      <c r="A60" s="6" t="s">
        <v>175</v>
      </c>
      <c r="B60" s="2" t="s">
        <v>180</v>
      </c>
      <c r="C60" s="2" t="s">
        <v>164</v>
      </c>
      <c r="D60" s="16">
        <v>2500</v>
      </c>
      <c r="E60" s="2"/>
      <c r="F60" s="2" t="s">
        <v>181</v>
      </c>
      <c r="G60" s="7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6" t="s">
        <v>143</v>
      </c>
      <c r="B61" s="2" t="s">
        <v>182</v>
      </c>
      <c r="C61" s="2" t="s">
        <v>100</v>
      </c>
      <c r="D61" s="16">
        <v>35000</v>
      </c>
      <c r="E61" s="2"/>
      <c r="F61" s="2" t="s">
        <v>125</v>
      </c>
      <c r="G61" s="7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6" t="s">
        <v>183</v>
      </c>
      <c r="B62" s="2" t="s">
        <v>184</v>
      </c>
      <c r="C62" s="2" t="s">
        <v>185</v>
      </c>
      <c r="D62" s="16">
        <v>1800</v>
      </c>
      <c r="E62" s="2"/>
      <c r="F62" s="2" t="s">
        <v>186</v>
      </c>
      <c r="G62" s="7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6" t="s">
        <v>93</v>
      </c>
      <c r="B63" s="2" t="s">
        <v>187</v>
      </c>
      <c r="C63" s="2" t="s">
        <v>188</v>
      </c>
      <c r="D63" s="16">
        <v>35000</v>
      </c>
      <c r="E63" s="2"/>
      <c r="F63" s="2"/>
      <c r="G63" s="7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6" t="s">
        <v>93</v>
      </c>
      <c r="B64" s="2" t="s">
        <v>189</v>
      </c>
      <c r="C64" s="2" t="s">
        <v>190</v>
      </c>
      <c r="D64" s="16">
        <v>1200000</v>
      </c>
      <c r="E64" s="2"/>
      <c r="F64" s="2" t="s">
        <v>191</v>
      </c>
      <c r="G64" s="7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6" t="s">
        <v>108</v>
      </c>
      <c r="B65" s="2" t="s">
        <v>192</v>
      </c>
      <c r="C65" s="2" t="s">
        <v>110</v>
      </c>
      <c r="D65" s="16">
        <v>1200</v>
      </c>
      <c r="E65" s="2"/>
      <c r="F65" s="2" t="s">
        <v>125</v>
      </c>
      <c r="G65" s="7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6" t="s">
        <v>108</v>
      </c>
      <c r="B66" s="2" t="s">
        <v>193</v>
      </c>
      <c r="C66" s="2" t="s">
        <v>110</v>
      </c>
      <c r="D66" s="16">
        <v>1200</v>
      </c>
      <c r="E66" s="2"/>
      <c r="F66" s="2" t="s">
        <v>125</v>
      </c>
      <c r="G66" s="7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2">
      <c r="A67" s="6" t="s">
        <v>132</v>
      </c>
      <c r="B67" s="2" t="s">
        <v>194</v>
      </c>
      <c r="C67" s="2" t="s">
        <v>110</v>
      </c>
      <c r="D67" s="16">
        <v>9500</v>
      </c>
      <c r="E67" s="2"/>
      <c r="F67" s="2" t="s">
        <v>195</v>
      </c>
      <c r="G67" s="7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6" t="s">
        <v>108</v>
      </c>
      <c r="B68" s="2" t="s">
        <v>196</v>
      </c>
      <c r="C68" s="2" t="s">
        <v>110</v>
      </c>
      <c r="D68" s="16">
        <v>1950</v>
      </c>
      <c r="E68" s="2"/>
      <c r="F68" s="2" t="s">
        <v>125</v>
      </c>
      <c r="G68" s="7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6" t="s">
        <v>197</v>
      </c>
      <c r="B69" s="2" t="s">
        <v>198</v>
      </c>
      <c r="C69" s="2" t="s">
        <v>110</v>
      </c>
      <c r="D69" s="16">
        <v>1650</v>
      </c>
      <c r="E69" s="2"/>
      <c r="F69" s="2" t="s">
        <v>125</v>
      </c>
      <c r="G69" s="7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6" t="s">
        <v>199</v>
      </c>
      <c r="B70" s="2" t="s">
        <v>200</v>
      </c>
      <c r="C70" s="2" t="s">
        <v>161</v>
      </c>
      <c r="D70" s="16">
        <v>9500</v>
      </c>
      <c r="E70" s="2"/>
      <c r="F70" s="2"/>
      <c r="G70" s="7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6" t="s">
        <v>199</v>
      </c>
      <c r="B71" s="2" t="s">
        <v>201</v>
      </c>
      <c r="C71" s="2" t="s">
        <v>161</v>
      </c>
      <c r="D71" s="16">
        <v>900</v>
      </c>
      <c r="E71" s="2"/>
      <c r="F71" s="2"/>
      <c r="G71" s="7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6" t="s">
        <v>199</v>
      </c>
      <c r="B72" s="2" t="s">
        <v>202</v>
      </c>
      <c r="C72" s="2" t="s">
        <v>161</v>
      </c>
      <c r="D72" s="16">
        <v>700</v>
      </c>
      <c r="E72" s="2"/>
      <c r="F72" s="2"/>
      <c r="G72" s="7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6" t="s">
        <v>199</v>
      </c>
      <c r="B73" s="2" t="s">
        <v>203</v>
      </c>
      <c r="C73" s="2" t="s">
        <v>161</v>
      </c>
      <c r="D73" s="16">
        <v>1600</v>
      </c>
      <c r="E73" s="2"/>
      <c r="F73" s="2"/>
      <c r="G73" s="7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6" t="s">
        <v>199</v>
      </c>
      <c r="B74" s="2" t="s">
        <v>204</v>
      </c>
      <c r="C74" s="2" t="s">
        <v>161</v>
      </c>
      <c r="D74" s="16">
        <v>800</v>
      </c>
      <c r="E74" s="2"/>
      <c r="F74" s="2"/>
      <c r="G74" s="7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6" t="s">
        <v>199</v>
      </c>
      <c r="B75" s="2" t="s">
        <v>205</v>
      </c>
      <c r="C75" s="2" t="s">
        <v>161</v>
      </c>
      <c r="D75" s="16">
        <v>1100</v>
      </c>
      <c r="E75" s="2"/>
      <c r="F75" s="2"/>
      <c r="G75" s="7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6" t="s">
        <v>199</v>
      </c>
      <c r="B76" s="2" t="s">
        <v>206</v>
      </c>
      <c r="C76" s="2" t="s">
        <v>161</v>
      </c>
      <c r="D76" s="16">
        <v>700</v>
      </c>
      <c r="E76" s="2"/>
      <c r="F76" s="2"/>
      <c r="G76" s="7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6" t="s">
        <v>199</v>
      </c>
      <c r="B77" s="2" t="s">
        <v>207</v>
      </c>
      <c r="C77" s="2" t="s">
        <v>161</v>
      </c>
      <c r="D77" s="16">
        <v>500</v>
      </c>
      <c r="E77" s="2"/>
      <c r="F77" s="2"/>
      <c r="G77" s="7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6" t="s">
        <v>199</v>
      </c>
      <c r="B78" s="2" t="s">
        <v>208</v>
      </c>
      <c r="C78" s="2" t="s">
        <v>161</v>
      </c>
      <c r="D78" s="16">
        <v>1200</v>
      </c>
      <c r="E78" s="2"/>
      <c r="F78" s="2"/>
      <c r="G78" s="7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6" t="s">
        <v>199</v>
      </c>
      <c r="B79" s="2" t="s">
        <v>209</v>
      </c>
      <c r="C79" s="2" t="s">
        <v>161</v>
      </c>
      <c r="D79" s="16">
        <v>500</v>
      </c>
      <c r="E79" s="2"/>
      <c r="F79" s="2"/>
      <c r="G79" s="7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6" t="s">
        <v>199</v>
      </c>
      <c r="B80" s="2" t="s">
        <v>210</v>
      </c>
      <c r="C80" s="2" t="s">
        <v>161</v>
      </c>
      <c r="D80" s="16">
        <v>1500</v>
      </c>
      <c r="E80" s="2"/>
      <c r="F80" s="2"/>
      <c r="G80" s="7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8" t="s">
        <v>199</v>
      </c>
      <c r="B81" s="9" t="s">
        <v>211</v>
      </c>
      <c r="C81" s="9" t="s">
        <v>161</v>
      </c>
      <c r="D81" s="21">
        <v>500</v>
      </c>
      <c r="E81" s="9"/>
      <c r="F81" s="9" t="s">
        <v>212</v>
      </c>
      <c r="G81" s="10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0"/>
  <sheetViews>
    <sheetView topLeftCell="A46" zoomScale="166" workbookViewId="0">
      <selection activeCell="B4" sqref="B4:B25"/>
    </sheetView>
  </sheetViews>
  <sheetFormatPr baseColWidth="10" defaultColWidth="8.83203125" defaultRowHeight="14"/>
  <cols>
    <col min="1" max="1" width="39" customWidth="1"/>
    <col min="2" max="2" width="18" customWidth="1"/>
    <col min="3" max="3" width="12" customWidth="1"/>
    <col min="4" max="4" width="42" customWidth="1"/>
  </cols>
  <sheetData>
    <row r="1" spans="1:26" ht="18">
      <c r="A1" s="45" t="s">
        <v>0</v>
      </c>
      <c r="B1" s="46"/>
      <c r="C1" s="46"/>
      <c r="D1" s="4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6" t="s">
        <v>1</v>
      </c>
      <c r="B2" s="51">
        <v>46316</v>
      </c>
      <c r="C2" s="2"/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6"/>
      <c r="B3" s="2"/>
      <c r="C3" s="2"/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4" t="s">
        <v>2</v>
      </c>
      <c r="B4" s="15"/>
      <c r="C4" s="2" t="s">
        <v>3</v>
      </c>
      <c r="D4" s="7">
        <v>52.1</v>
      </c>
      <c r="E4" s="1">
        <v>4.8</v>
      </c>
      <c r="F4" s="1">
        <v>2.86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4" t="s">
        <v>4</v>
      </c>
      <c r="B5" s="15"/>
      <c r="C5" s="2" t="s">
        <v>3</v>
      </c>
      <c r="D5" s="7">
        <v>9.8000000000000007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4" t="s">
        <v>5</v>
      </c>
      <c r="B6" s="15"/>
      <c r="C6" s="2" t="s">
        <v>3</v>
      </c>
      <c r="D6" s="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4" t="s">
        <v>6</v>
      </c>
      <c r="B7" s="15"/>
      <c r="C7" s="2" t="s">
        <v>3</v>
      </c>
      <c r="D7" s="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4" t="s">
        <v>7</v>
      </c>
      <c r="B8" s="15"/>
      <c r="C8" s="2" t="s">
        <v>3</v>
      </c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4" t="s">
        <v>8</v>
      </c>
      <c r="B9" s="15"/>
      <c r="C9" s="2" t="s">
        <v>3</v>
      </c>
      <c r="D9" s="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4" t="s">
        <v>9</v>
      </c>
      <c r="B10" s="15"/>
      <c r="C10" s="2" t="s">
        <v>3</v>
      </c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4" t="s">
        <v>10</v>
      </c>
      <c r="B11" s="15"/>
      <c r="C11" s="2" t="s">
        <v>3</v>
      </c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4" t="s">
        <v>11</v>
      </c>
      <c r="B12" s="15"/>
      <c r="C12" s="2" t="s">
        <v>3</v>
      </c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4" t="s">
        <v>12</v>
      </c>
      <c r="B13" s="15"/>
      <c r="C13" s="2" t="s">
        <v>3</v>
      </c>
      <c r="D13" s="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4" t="s">
        <v>13</v>
      </c>
      <c r="B14" s="15"/>
      <c r="C14" s="2" t="s">
        <v>3</v>
      </c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4" t="s">
        <v>14</v>
      </c>
      <c r="B15" s="15"/>
      <c r="C15" s="2" t="s">
        <v>3</v>
      </c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4" t="s">
        <v>15</v>
      </c>
      <c r="B16" s="15"/>
      <c r="C16" s="2" t="s">
        <v>16</v>
      </c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4" t="s">
        <v>17</v>
      </c>
      <c r="B17" s="15"/>
      <c r="C17" s="2" t="s">
        <v>18</v>
      </c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">
      <c r="A18" s="14" t="s">
        <v>19</v>
      </c>
      <c r="B18" s="15"/>
      <c r="C18" s="2" t="s">
        <v>20</v>
      </c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8">
      <c r="A19" s="14" t="s">
        <v>21</v>
      </c>
      <c r="B19" s="15"/>
      <c r="C19" s="2" t="s">
        <v>20</v>
      </c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4" t="s">
        <v>22</v>
      </c>
      <c r="B20" s="20"/>
      <c r="C20" s="2" t="s">
        <v>23</v>
      </c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4" t="s">
        <v>24</v>
      </c>
      <c r="B21" s="15"/>
      <c r="C21" s="2" t="s">
        <v>3</v>
      </c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4" t="s">
        <v>25</v>
      </c>
      <c r="B22" s="15"/>
      <c r="C22" s="2" t="s">
        <v>26</v>
      </c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4" t="s">
        <v>27</v>
      </c>
      <c r="B23" s="15"/>
      <c r="C23" s="2" t="s">
        <v>28</v>
      </c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4" t="s">
        <v>29</v>
      </c>
      <c r="B24" s="15"/>
      <c r="C24" s="2" t="s">
        <v>28</v>
      </c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4" t="s">
        <v>30</v>
      </c>
      <c r="B25" s="15"/>
      <c r="C25" s="2" t="s">
        <v>26</v>
      </c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/>
      <c r="B26" s="16"/>
      <c r="C26" s="2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1" t="s">
        <v>31</v>
      </c>
      <c r="B27" s="17"/>
      <c r="C27" s="12"/>
      <c r="D27" s="1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32</v>
      </c>
      <c r="B28" s="18">
        <f>B9+B11+B12</f>
        <v>0</v>
      </c>
      <c r="C28" s="2" t="s">
        <v>3</v>
      </c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33</v>
      </c>
      <c r="B29" s="18">
        <f>B9+B11*0.3+B12*0.6</f>
        <v>0</v>
      </c>
      <c r="C29" s="2" t="s">
        <v>3</v>
      </c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34</v>
      </c>
      <c r="B30" s="18">
        <f>IF(B18&gt;0,B18,ROUNDUP((B4+B5)*B22,1))</f>
        <v>0</v>
      </c>
      <c r="C30" s="2" t="s">
        <v>20</v>
      </c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35</v>
      </c>
      <c r="B31" s="18">
        <f>IF(B19&gt;0,B30-B19,IF(B4&gt;0,B4*B22,B30))</f>
        <v>0</v>
      </c>
      <c r="C31" s="2" t="s">
        <v>20</v>
      </c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36</v>
      </c>
      <c r="B32" s="18" t="e">
        <f>IF(B4&gt;0,B4,B31/B22)</f>
        <v>#DIV/0!</v>
      </c>
      <c r="C32" s="2" t="s">
        <v>3</v>
      </c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37</v>
      </c>
      <c r="B33" s="18">
        <f>B9+B11+B12</f>
        <v>0</v>
      </c>
      <c r="C33" s="2" t="s">
        <v>3</v>
      </c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38</v>
      </c>
      <c r="B34" s="18">
        <f>B9+B12</f>
        <v>0</v>
      </c>
      <c r="C34" s="2" t="s">
        <v>3</v>
      </c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39</v>
      </c>
      <c r="B35" s="18">
        <f>ROUNDUP(B10*0.3*1.07,0)</f>
        <v>0</v>
      </c>
      <c r="C35" s="2" t="s">
        <v>20</v>
      </c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40</v>
      </c>
      <c r="B36" s="18">
        <f>ROUNDUP(B14*0.4*1.25,-1)</f>
        <v>0</v>
      </c>
      <c r="C36" s="2" t="s">
        <v>20</v>
      </c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41</v>
      </c>
      <c r="B37" s="18">
        <f>ROUNDUP(B14*0.2*1.3,-1)</f>
        <v>0</v>
      </c>
      <c r="C37" s="2" t="s">
        <v>20</v>
      </c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42</v>
      </c>
      <c r="B38" s="18">
        <f>B10*20*0.95*1.3/1000</f>
        <v>0</v>
      </c>
      <c r="C38" s="2" t="s">
        <v>43</v>
      </c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6" t="s">
        <v>44</v>
      </c>
      <c r="B39" s="18">
        <f>IF(B20="Да",ROUNDUP(B16*1.1/100,0),0)</f>
        <v>0</v>
      </c>
      <c r="C39" s="2" t="s">
        <v>45</v>
      </c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6" t="s">
        <v>46</v>
      </c>
      <c r="B40" s="18">
        <f>B16*1.3</f>
        <v>0</v>
      </c>
      <c r="C40" s="2" t="s">
        <v>16</v>
      </c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6" t="s">
        <v>47</v>
      </c>
      <c r="B41" s="18">
        <f>ROUNDUP((B14/150+B10/150)*1.1,0)</f>
        <v>0</v>
      </c>
      <c r="C41" s="2" t="s">
        <v>48</v>
      </c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6" t="s">
        <v>49</v>
      </c>
      <c r="B42" s="18">
        <f>ROUNDUP(B35/60,0)</f>
        <v>0</v>
      </c>
      <c r="C42" s="2" t="s">
        <v>45</v>
      </c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6" t="s">
        <v>51</v>
      </c>
      <c r="B43" s="18">
        <f>ROUNDUP(B16/0.6*2*1.05,0)</f>
        <v>0</v>
      </c>
      <c r="C43" s="2" t="s">
        <v>52</v>
      </c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6" t="s">
        <v>53</v>
      </c>
      <c r="B44" s="18">
        <f>ROUNDUP((B36+B37)/40,0)*1.6</f>
        <v>0</v>
      </c>
      <c r="C44" s="2" t="s">
        <v>54</v>
      </c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6" t="s">
        <v>55</v>
      </c>
      <c r="B45" s="18">
        <f>B17+(ROUNDUP(B35/80,0)-1)</f>
        <v>-1</v>
      </c>
      <c r="C45" s="2" t="s">
        <v>54</v>
      </c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6" t="s">
        <v>56</v>
      </c>
      <c r="B46" s="18">
        <f>B6*1.05</f>
        <v>0</v>
      </c>
      <c r="C46" s="2" t="s">
        <v>3</v>
      </c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6" t="s">
        <v>57</v>
      </c>
      <c r="B47" s="18">
        <f>ROUNDUP(B7*B25/0.3,0)</f>
        <v>0</v>
      </c>
      <c r="C47" s="2" t="s">
        <v>58</v>
      </c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6" t="s">
        <v>59</v>
      </c>
      <c r="B48" s="18">
        <f>ROUNDUP(B6/75*1.1,0)</f>
        <v>0</v>
      </c>
      <c r="C48" s="2" t="s">
        <v>18</v>
      </c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6" t="s">
        <v>60</v>
      </c>
      <c r="B49" s="18">
        <f>ROUNDUP(B7/75,0)</f>
        <v>0</v>
      </c>
      <c r="C49" s="2" t="s">
        <v>18</v>
      </c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6" t="s">
        <v>61</v>
      </c>
      <c r="B50" s="18">
        <f>(B46-B7)*0.02*1.5</f>
        <v>0</v>
      </c>
      <c r="C50" s="2" t="s">
        <v>20</v>
      </c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6" t="s">
        <v>62</v>
      </c>
      <c r="B51" s="18" t="e">
        <f>ROUNDUP((B32+B46-B7)/4.7,0)</f>
        <v>#DIV/0!</v>
      </c>
      <c r="C51" s="2" t="s">
        <v>63</v>
      </c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8">
      <c r="A52" s="6" t="s">
        <v>288</v>
      </c>
      <c r="B52" s="18">
        <v>0</v>
      </c>
      <c r="C52" s="2" t="s">
        <v>20</v>
      </c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6" t="s">
        <v>64</v>
      </c>
      <c r="B53" s="18">
        <f>B52/1.3</f>
        <v>0</v>
      </c>
      <c r="C53" s="2" t="s">
        <v>20</v>
      </c>
      <c r="D53" s="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6" t="s">
        <v>65</v>
      </c>
      <c r="B54" s="18">
        <f>ROUNDUP((B30+B52)/37,0)</f>
        <v>0</v>
      </c>
      <c r="C54" s="2" t="s">
        <v>18</v>
      </c>
      <c r="D54" s="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6" t="s">
        <v>66</v>
      </c>
      <c r="B55" s="18">
        <f>ROUNDUP(B54/3,0)</f>
        <v>0</v>
      </c>
      <c r="C55" s="2" t="s">
        <v>54</v>
      </c>
      <c r="D55" s="7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8" t="s">
        <v>67</v>
      </c>
      <c r="B56" s="19">
        <f>ROUNDUP((B30+B52)/8,0)+1</f>
        <v>1</v>
      </c>
      <c r="C56" s="9" t="s">
        <v>54</v>
      </c>
      <c r="D56" s="10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mergeCells count="1">
    <mergeCell ref="A1:D1"/>
  </mergeCells>
  <dataValidations count="1">
    <dataValidation type="list" sqref="B20" xr:uid="{00000000-0002-0000-0000-000000000000}">
      <formula1>"Да,Нет"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97"/>
  <sheetViews>
    <sheetView zoomScale="141" workbookViewId="0">
      <selection activeCell="B12" sqref="B12"/>
    </sheetView>
  </sheetViews>
  <sheetFormatPr baseColWidth="10" defaultColWidth="8.83203125" defaultRowHeight="14"/>
  <cols>
    <col min="1" max="1" width="64" customWidth="1"/>
    <col min="2" max="2" width="22" customWidth="1"/>
    <col min="3" max="3" width="13" customWidth="1"/>
    <col min="4" max="4" width="16" customWidth="1"/>
    <col min="5" max="6" width="18" customWidth="1"/>
  </cols>
  <sheetData>
    <row r="1" spans="1:26">
      <c r="A1" s="3"/>
      <c r="B1" s="4"/>
      <c r="C1" s="4"/>
      <c r="D1" s="4"/>
      <c r="E1" s="4"/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6"/>
      <c r="B2" s="2"/>
      <c r="C2" s="2"/>
      <c r="D2" s="2"/>
      <c r="E2" s="2"/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">
      <c r="A3" s="48" t="s">
        <v>213</v>
      </c>
      <c r="B3" s="49"/>
      <c r="C3" s="49"/>
      <c r="D3" s="49"/>
      <c r="E3" s="49"/>
      <c r="F3" s="5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6"/>
      <c r="B4" s="2"/>
      <c r="C4" s="2"/>
      <c r="D4" s="2"/>
      <c r="E4" s="2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6" t="s">
        <v>214</v>
      </c>
      <c r="B5" s="51">
        <v>46316</v>
      </c>
      <c r="C5" s="2"/>
      <c r="D5" s="2"/>
      <c r="E5" s="2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6" t="s">
        <v>215</v>
      </c>
      <c r="B6" s="2">
        <v>200</v>
      </c>
      <c r="C6" s="2"/>
      <c r="D6" s="2"/>
      <c r="E6" s="2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6" t="s">
        <v>216</v>
      </c>
      <c r="B7" s="2" t="s">
        <v>217</v>
      </c>
      <c r="C7" s="2"/>
      <c r="D7" s="2"/>
      <c r="E7" s="2"/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218</v>
      </c>
      <c r="B8" s="2">
        <f>'Параметры для расчета'!B11</f>
        <v>0</v>
      </c>
      <c r="C8" s="2"/>
      <c r="D8" s="2"/>
      <c r="E8" s="2"/>
      <c r="F8" s="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219</v>
      </c>
      <c r="B9" s="2">
        <f>'Параметры для расчета'!B12</f>
        <v>0</v>
      </c>
      <c r="C9" s="2"/>
      <c r="D9" s="2"/>
      <c r="E9" s="2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8</v>
      </c>
      <c r="B10" s="2">
        <f>'Параметры для расчета'!B9</f>
        <v>0</v>
      </c>
      <c r="C10" s="2"/>
      <c r="D10" s="2"/>
      <c r="E10" s="2"/>
      <c r="F10" s="7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33</v>
      </c>
      <c r="B11" s="2">
        <f>'Параметры для расчета'!B29</f>
        <v>0</v>
      </c>
      <c r="C11" s="2"/>
      <c r="D11" s="2"/>
      <c r="E11" s="2"/>
      <c r="F11" s="7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220</v>
      </c>
      <c r="B12" s="30" t="e">
        <f>B16/B11</f>
        <v>#DIV/0!</v>
      </c>
      <c r="C12" s="2"/>
      <c r="D12" s="2"/>
      <c r="E12" s="2"/>
      <c r="F12" s="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32</v>
      </c>
      <c r="B13" s="2">
        <f>'Параметры для расчета'!B28</f>
        <v>0</v>
      </c>
      <c r="C13" s="2"/>
      <c r="D13" s="2"/>
      <c r="E13" s="2"/>
      <c r="F13" s="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/>
      <c r="B14" s="2"/>
      <c r="C14" s="2"/>
      <c r="D14" s="2"/>
      <c r="E14" s="2"/>
      <c r="F14" s="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221</v>
      </c>
      <c r="B15" s="2"/>
      <c r="C15" s="2"/>
      <c r="D15" s="2"/>
      <c r="E15" s="2"/>
      <c r="F15" s="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4" t="s">
        <v>222</v>
      </c>
      <c r="B16" s="29" t="e">
        <f>E20+E24+E56+E74+E91</f>
        <v>#DIV/0!</v>
      </c>
      <c r="C16" s="27"/>
      <c r="D16" s="27"/>
      <c r="E16" s="27"/>
      <c r="F16" s="2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/>
      <c r="B17" s="2"/>
      <c r="C17" s="2"/>
      <c r="D17" s="2"/>
      <c r="E17" s="2"/>
      <c r="F17" s="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">
      <c r="A18" s="6"/>
      <c r="B18" s="2" t="s">
        <v>223</v>
      </c>
      <c r="C18" s="2"/>
      <c r="D18" s="2"/>
      <c r="E18" s="2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3" t="s">
        <v>224</v>
      </c>
      <c r="B19" s="24" t="s">
        <v>225</v>
      </c>
      <c r="C19" s="24" t="s">
        <v>226</v>
      </c>
      <c r="D19" s="24" t="s">
        <v>227</v>
      </c>
      <c r="E19" s="25" t="s">
        <v>228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1" t="s">
        <v>229</v>
      </c>
      <c r="B20" s="17"/>
      <c r="C20" s="17"/>
      <c r="D20" s="31"/>
      <c r="E20" s="32">
        <f>E21</f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26" t="s">
        <v>230</v>
      </c>
      <c r="B21" s="33"/>
      <c r="C21" s="33"/>
      <c r="D21" s="34"/>
      <c r="E21" s="35">
        <f>SUM(E22:E23)</f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139</v>
      </c>
      <c r="B22" s="36">
        <f>'Параметры для расчета'!B33</f>
        <v>0</v>
      </c>
      <c r="C22" s="36" t="s">
        <v>3</v>
      </c>
      <c r="D22" s="37">
        <f>'Нормативы и РРЦ'!D37</f>
        <v>900</v>
      </c>
      <c r="E22" s="38">
        <f>B22*D22</f>
        <v>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231</v>
      </c>
      <c r="B23" s="36">
        <f>'Параметры для расчета'!B34</f>
        <v>0</v>
      </c>
      <c r="C23" s="36" t="s">
        <v>3</v>
      </c>
      <c r="D23" s="37">
        <f>'Нормативы и РРЦ'!D38</f>
        <v>1200</v>
      </c>
      <c r="E23" s="38">
        <f>B23*D23</f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8">
      <c r="A24" s="11" t="s">
        <v>232</v>
      </c>
      <c r="B24" s="39"/>
      <c r="C24" s="39"/>
      <c r="D24" s="40"/>
      <c r="E24" s="41">
        <f>E25+E42</f>
        <v>59500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6" t="s">
        <v>233</v>
      </c>
      <c r="B25" s="33"/>
      <c r="C25" s="33"/>
      <c r="D25" s="34"/>
      <c r="E25" s="35">
        <f>SUM(E26:E41)</f>
        <v>-29500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234</v>
      </c>
      <c r="B26" s="36">
        <f>'Параметры для расчета'!B36</f>
        <v>0</v>
      </c>
      <c r="C26" s="36" t="s">
        <v>20</v>
      </c>
      <c r="D26" s="37">
        <f>'Нормативы и РРЦ'!D39</f>
        <v>1300</v>
      </c>
      <c r="E26" s="38">
        <f t="shared" ref="E26:E41" si="0">B26*D26</f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145</v>
      </c>
      <c r="B27" s="36">
        <f>'Параметры для расчета'!B35</f>
        <v>0</v>
      </c>
      <c r="C27" s="36" t="s">
        <v>20</v>
      </c>
      <c r="D27" s="37">
        <f>'Нормативы и РРЦ'!D40</f>
        <v>6400</v>
      </c>
      <c r="E27" s="38">
        <f t="shared" si="0"/>
        <v>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148</v>
      </c>
      <c r="B28" s="36">
        <f>'Параметры для расчета'!B35</f>
        <v>0</v>
      </c>
      <c r="C28" s="36" t="s">
        <v>20</v>
      </c>
      <c r="D28" s="37">
        <f>'Нормативы и РРЦ'!D41</f>
        <v>900</v>
      </c>
      <c r="E28" s="38">
        <f t="shared" si="0"/>
        <v>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149</v>
      </c>
      <c r="B29" s="36">
        <f>'Параметры для расчета'!B38</f>
        <v>0</v>
      </c>
      <c r="C29" s="36" t="s">
        <v>43</v>
      </c>
      <c r="D29" s="37">
        <f>'Нормативы и РРЦ'!D42</f>
        <v>72500</v>
      </c>
      <c r="E29" s="38">
        <f t="shared" si="0"/>
        <v>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8">
      <c r="A30" s="6" t="s">
        <v>235</v>
      </c>
      <c r="B30" s="36">
        <f>'Параметры для расчета'!B39</f>
        <v>0</v>
      </c>
      <c r="C30" s="36" t="s">
        <v>45</v>
      </c>
      <c r="D30" s="37">
        <f>'Нормативы и РРЦ'!D43</f>
        <v>43500</v>
      </c>
      <c r="E30" s="38">
        <f t="shared" si="0"/>
        <v>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157</v>
      </c>
      <c r="B31" s="36">
        <f>'Параметры для расчета'!B41</f>
        <v>0</v>
      </c>
      <c r="C31" s="36" t="s">
        <v>48</v>
      </c>
      <c r="D31" s="37">
        <f>'Нормативы и РРЦ'!D44</f>
        <v>12000</v>
      </c>
      <c r="E31" s="38">
        <f t="shared" si="0"/>
        <v>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8">
      <c r="A32" s="6" t="s">
        <v>236</v>
      </c>
      <c r="B32" s="36">
        <f>'Параметры для расчета'!B42</f>
        <v>0</v>
      </c>
      <c r="C32" s="36" t="s">
        <v>45</v>
      </c>
      <c r="D32" s="37">
        <f>'Нормативы и РРЦ'!D45</f>
        <v>45900</v>
      </c>
      <c r="E32" s="38">
        <f t="shared" si="0"/>
        <v>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8">
      <c r="A33" s="6" t="s">
        <v>237</v>
      </c>
      <c r="B33" s="36">
        <f>ROUNDUP('Параметры для расчета'!B33/300,0)</f>
        <v>0</v>
      </c>
      <c r="C33" s="36" t="s">
        <v>45</v>
      </c>
      <c r="D33" s="37">
        <f>67000</f>
        <v>67000</v>
      </c>
      <c r="E33" s="38">
        <f t="shared" si="0"/>
        <v>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238</v>
      </c>
      <c r="B34" s="36">
        <f>'Параметры для расчета'!B43</f>
        <v>0</v>
      </c>
      <c r="C34" s="36" t="s">
        <v>52</v>
      </c>
      <c r="D34" s="37">
        <f>'Нормативы и РРЦ'!D52</f>
        <v>699</v>
      </c>
      <c r="E34" s="38">
        <f t="shared" si="0"/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8">
      <c r="A35" s="6" t="s">
        <v>239</v>
      </c>
      <c r="B35" s="36">
        <f>'Параметры для расчета'!B30</f>
        <v>0</v>
      </c>
      <c r="C35" s="36" t="s">
        <v>240</v>
      </c>
      <c r="D35" s="37">
        <f>'Нормативы и РРЦ'!D46</f>
        <v>450</v>
      </c>
      <c r="E35" s="38">
        <f t="shared" si="0"/>
        <v>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163</v>
      </c>
      <c r="B36" s="36">
        <f>'Параметры для расчета'!B35</f>
        <v>0</v>
      </c>
      <c r="C36" s="36" t="s">
        <v>241</v>
      </c>
      <c r="D36" s="37">
        <f>'Нормативы и РРЦ'!D47</f>
        <v>900</v>
      </c>
      <c r="E36" s="38">
        <f t="shared" si="0"/>
        <v>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242</v>
      </c>
      <c r="B37" s="36">
        <f>'Параметры для расчета'!B44</f>
        <v>0</v>
      </c>
      <c r="C37" s="36" t="s">
        <v>54</v>
      </c>
      <c r="D37" s="37">
        <f>'Нормативы и РРЦ'!D50</f>
        <v>35000</v>
      </c>
      <c r="E37" s="38">
        <f t="shared" si="0"/>
        <v>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243</v>
      </c>
      <c r="B38" s="36">
        <f>'Параметры для расчета'!B45</f>
        <v>-1</v>
      </c>
      <c r="C38" s="36" t="s">
        <v>54</v>
      </c>
      <c r="D38" s="37">
        <f>'Нормативы и РРЦ'!D51</f>
        <v>33000</v>
      </c>
      <c r="E38" s="38">
        <f t="shared" si="0"/>
        <v>-33000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6" t="s">
        <v>165</v>
      </c>
      <c r="B39" s="36">
        <f>'Параметры для расчета'!B37</f>
        <v>0</v>
      </c>
      <c r="C39" s="36" t="s">
        <v>20</v>
      </c>
      <c r="D39" s="37">
        <f>'Нормативы и РРЦ'!D48</f>
        <v>2600</v>
      </c>
      <c r="E39" s="38">
        <f t="shared" si="0"/>
        <v>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6" t="s">
        <v>166</v>
      </c>
      <c r="B40" s="36">
        <f>'Параметры для расчета'!B35</f>
        <v>0</v>
      </c>
      <c r="C40" s="36" t="s">
        <v>241</v>
      </c>
      <c r="D40" s="37">
        <f>'Нормативы и РРЦ'!D49</f>
        <v>1500</v>
      </c>
      <c r="E40" s="38">
        <f t="shared" si="0"/>
        <v>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6" t="s">
        <v>244</v>
      </c>
      <c r="B41" s="36">
        <f>ROUNDUP(E42/'Нормативы и РРЦ'!D64,1)</f>
        <v>0.1</v>
      </c>
      <c r="C41" s="36" t="s">
        <v>245</v>
      </c>
      <c r="D41" s="37">
        <f>'Нормативы и РРЦ'!D63</f>
        <v>35000</v>
      </c>
      <c r="E41" s="38">
        <f t="shared" si="0"/>
        <v>3500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26" t="s">
        <v>246</v>
      </c>
      <c r="B42" s="33"/>
      <c r="C42" s="33"/>
      <c r="D42" s="34"/>
      <c r="E42" s="35">
        <f>E43+E46+E53</f>
        <v>89000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26" t="s">
        <v>247</v>
      </c>
      <c r="B43" s="33"/>
      <c r="C43" s="33"/>
      <c r="D43" s="34"/>
      <c r="E43" s="35">
        <f>SUM(E44:E45)</f>
        <v>54000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6" t="s">
        <v>248</v>
      </c>
      <c r="B44" s="36">
        <f>3</f>
        <v>3</v>
      </c>
      <c r="C44" s="36" t="s">
        <v>249</v>
      </c>
      <c r="D44" s="37">
        <f>'Нормативы и РРЦ'!D54</f>
        <v>18000</v>
      </c>
      <c r="E44" s="38">
        <f>B44*D44</f>
        <v>54000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8">
      <c r="A45" s="6" t="s">
        <v>250</v>
      </c>
      <c r="B45" s="36">
        <f>'Параметры для расчета'!B36+'Параметры для расчета'!B37</f>
        <v>0</v>
      </c>
      <c r="C45" s="36" t="s">
        <v>20</v>
      </c>
      <c r="D45" s="37">
        <f>'Нормативы и РРЦ'!D55</f>
        <v>600</v>
      </c>
      <c r="E45" s="38">
        <f>B45*D45</f>
        <v>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26" t="s">
        <v>251</v>
      </c>
      <c r="B46" s="33"/>
      <c r="C46" s="33"/>
      <c r="D46" s="34"/>
      <c r="E46" s="35">
        <f>SUM(E47:E52)</f>
        <v>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6" t="s">
        <v>176</v>
      </c>
      <c r="B47" s="36">
        <f>'Параметры для расчета'!B35</f>
        <v>0</v>
      </c>
      <c r="C47" s="36" t="s">
        <v>241</v>
      </c>
      <c r="D47" s="37">
        <f>'Нормативы и РРЦ'!D56</f>
        <v>4000</v>
      </c>
      <c r="E47" s="38">
        <f t="shared" ref="E47:E52" si="1">B47*D47</f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6" t="s">
        <v>177</v>
      </c>
      <c r="B48" s="36">
        <f>'Параметры для расчета'!B35</f>
        <v>0</v>
      </c>
      <c r="C48" s="36" t="s">
        <v>241</v>
      </c>
      <c r="D48" s="37">
        <f>'Нормативы и РРЦ'!D57</f>
        <v>5000</v>
      </c>
      <c r="E48" s="38">
        <f t="shared" si="1"/>
        <v>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6" t="s">
        <v>178</v>
      </c>
      <c r="B49" s="36">
        <f>'Параметры для расчета'!B35</f>
        <v>0</v>
      </c>
      <c r="C49" s="36" t="s">
        <v>241</v>
      </c>
      <c r="D49" s="37">
        <f>'Нормативы и РРЦ'!D58</f>
        <v>3500</v>
      </c>
      <c r="E49" s="38">
        <f t="shared" si="1"/>
        <v>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6" t="s">
        <v>252</v>
      </c>
      <c r="B50" s="36">
        <f>'Параметры для расчета'!B35</f>
        <v>0</v>
      </c>
      <c r="C50" s="36" t="s">
        <v>241</v>
      </c>
      <c r="D50" s="37">
        <f>'Нормативы и РРЦ'!D59</f>
        <v>3000</v>
      </c>
      <c r="E50" s="38">
        <f t="shared" si="1"/>
        <v>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6" t="s">
        <v>180</v>
      </c>
      <c r="B51" s="36">
        <f>'Параметры для расчета'!B35</f>
        <v>0</v>
      </c>
      <c r="C51" s="36" t="s">
        <v>241</v>
      </c>
      <c r="D51" s="37">
        <f>'Нормативы и РРЦ'!D60</f>
        <v>2500</v>
      </c>
      <c r="E51" s="38">
        <f t="shared" si="1"/>
        <v>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6" t="s">
        <v>253</v>
      </c>
      <c r="B52" s="36">
        <f>'Параметры для расчета'!B43</f>
        <v>0</v>
      </c>
      <c r="C52" s="36" t="s">
        <v>52</v>
      </c>
      <c r="D52" s="37">
        <f>'Нормативы и РРЦ'!D53</f>
        <v>250</v>
      </c>
      <c r="E52" s="38">
        <f t="shared" si="1"/>
        <v>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26" t="s">
        <v>254</v>
      </c>
      <c r="B53" s="33"/>
      <c r="C53" s="33"/>
      <c r="D53" s="34"/>
      <c r="E53" s="35">
        <f>SUM(E54:E55)</f>
        <v>35000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6" t="s">
        <v>182</v>
      </c>
      <c r="B54" s="36">
        <f>1</f>
        <v>1</v>
      </c>
      <c r="C54" s="36" t="s">
        <v>54</v>
      </c>
      <c r="D54" s="37">
        <f>'Нормативы и РРЦ'!D61</f>
        <v>35000</v>
      </c>
      <c r="E54" s="38">
        <f>B54*D54</f>
        <v>35000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8">
      <c r="A55" s="6" t="s">
        <v>255</v>
      </c>
      <c r="B55" s="36">
        <f>'Параметры для расчета'!B40</f>
        <v>0</v>
      </c>
      <c r="C55" s="36" t="s">
        <v>16</v>
      </c>
      <c r="D55" s="37">
        <f>'Нормативы и РРЦ'!D62</f>
        <v>1800</v>
      </c>
      <c r="E55" s="38">
        <f>B55*D55</f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1" t="s">
        <v>256</v>
      </c>
      <c r="B56" s="39"/>
      <c r="C56" s="39"/>
      <c r="D56" s="40"/>
      <c r="E56" s="41">
        <f>E57+E67+E71</f>
        <v>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26" t="s">
        <v>257</v>
      </c>
      <c r="B57" s="33"/>
      <c r="C57" s="33"/>
      <c r="D57" s="34"/>
      <c r="E57" s="35">
        <f>SUM(E58:E66)</f>
        <v>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8">
      <c r="A58" s="6" t="s">
        <v>258</v>
      </c>
      <c r="B58" s="36">
        <f>'Параметры для расчета'!B30</f>
        <v>0</v>
      </c>
      <c r="C58" s="36" t="s">
        <v>20</v>
      </c>
      <c r="D58" s="37">
        <f>'Нормативы и РРЦ'!D4</f>
        <v>64000</v>
      </c>
      <c r="E58" s="38">
        <f t="shared" ref="E58:E66" si="2">B58*D58</f>
        <v>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6" t="s">
        <v>81</v>
      </c>
      <c r="B59" s="36">
        <f>'Параметры для расчета'!B30</f>
        <v>0</v>
      </c>
      <c r="C59" s="36" t="s">
        <v>240</v>
      </c>
      <c r="D59" s="37">
        <f>'Нормативы и РРЦ'!D4*'Нормативы и РРЦ'!D7</f>
        <v>768</v>
      </c>
      <c r="E59" s="38">
        <f t="shared" si="2"/>
        <v>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6" t="s">
        <v>83</v>
      </c>
      <c r="B60" s="36">
        <f>'Параметры для расчета'!B30</f>
        <v>0</v>
      </c>
      <c r="C60" s="36" t="s">
        <v>240</v>
      </c>
      <c r="D60" s="37">
        <f>'Нормативы и РРЦ'!D4*'Нормативы и РРЦ'!D8</f>
        <v>1728</v>
      </c>
      <c r="E60" s="38">
        <f t="shared" si="2"/>
        <v>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6" t="s">
        <v>84</v>
      </c>
      <c r="B61" s="36">
        <f>'Параметры для расчета'!B30</f>
        <v>0</v>
      </c>
      <c r="C61" s="36" t="s">
        <v>240</v>
      </c>
      <c r="D61" s="37">
        <f>'Нормативы и РРЦ'!D4*'Нормативы и РРЦ'!D9</f>
        <v>640</v>
      </c>
      <c r="E61" s="38">
        <f t="shared" si="2"/>
        <v>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6" t="s">
        <v>85</v>
      </c>
      <c r="B62" s="36">
        <f>'Параметры для расчета'!B30</f>
        <v>0</v>
      </c>
      <c r="C62" s="36" t="s">
        <v>240</v>
      </c>
      <c r="D62" s="37">
        <f>'Нормативы и РРЦ'!D4*'Нормативы и РРЦ'!D10</f>
        <v>768</v>
      </c>
      <c r="E62" s="38">
        <f t="shared" si="2"/>
        <v>0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6" t="s">
        <v>86</v>
      </c>
      <c r="B63" s="36">
        <f>'Параметры для расчета'!B30</f>
        <v>0</v>
      </c>
      <c r="C63" s="36" t="s">
        <v>240</v>
      </c>
      <c r="D63" s="37">
        <f>'Нормативы и РРЦ'!D4*'Нормативы и РРЦ'!D11</f>
        <v>480</v>
      </c>
      <c r="E63" s="38">
        <f t="shared" si="2"/>
        <v>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6" t="s">
        <v>87</v>
      </c>
      <c r="B64" s="36">
        <f>'Параметры для расчета'!B30</f>
        <v>0</v>
      </c>
      <c r="C64" s="36" t="s">
        <v>240</v>
      </c>
      <c r="D64" s="37">
        <f>'Нормативы и РРЦ'!D4*'Нормативы и РРЦ'!D12</f>
        <v>576</v>
      </c>
      <c r="E64" s="38">
        <f t="shared" si="2"/>
        <v>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6" t="s">
        <v>88</v>
      </c>
      <c r="B65" s="36">
        <f>'Параметры для расчета'!B30</f>
        <v>0</v>
      </c>
      <c r="C65" s="36" t="s">
        <v>240</v>
      </c>
      <c r="D65" s="37">
        <f>'Нормативы и РРЦ'!D4*'Нормативы и РРЦ'!D13</f>
        <v>544</v>
      </c>
      <c r="E65" s="38">
        <f t="shared" si="2"/>
        <v>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6" t="s">
        <v>89</v>
      </c>
      <c r="B66" s="36">
        <f>'Параметры для расчета'!B30</f>
        <v>0</v>
      </c>
      <c r="C66" s="36" t="s">
        <v>240</v>
      </c>
      <c r="D66" s="37">
        <f>'Нормативы и РРЦ'!D4*'Нормативы и РРЦ'!D14</f>
        <v>1171.2</v>
      </c>
      <c r="E66" s="38">
        <f t="shared" si="2"/>
        <v>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26" t="s">
        <v>259</v>
      </c>
      <c r="B67" s="33"/>
      <c r="C67" s="33"/>
      <c r="D67" s="34"/>
      <c r="E67" s="35">
        <f>SUM(E68:E70)</f>
        <v>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8">
      <c r="A68" s="6" t="s">
        <v>260</v>
      </c>
      <c r="B68" s="36">
        <f>'Параметры для расчета'!B30</f>
        <v>0</v>
      </c>
      <c r="C68" s="36" t="s">
        <v>20</v>
      </c>
      <c r="D68" s="37">
        <f>'Нормативы и РРЦ'!D5</f>
        <v>8430</v>
      </c>
      <c r="E68" s="38">
        <f>B68*D68</f>
        <v>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6" t="s">
        <v>261</v>
      </c>
      <c r="B69" s="36">
        <f>'Параметры для расчета'!B54</f>
        <v>0</v>
      </c>
      <c r="C69" s="36" t="s">
        <v>262</v>
      </c>
      <c r="D69" s="37">
        <f>'Нормативы и РРЦ'!D17</f>
        <v>118000</v>
      </c>
      <c r="E69" s="38">
        <f>B69*D69</f>
        <v>0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8">
      <c r="A70" s="6" t="s">
        <v>263</v>
      </c>
      <c r="B70" s="36">
        <f>'Параметры для расчета'!B55</f>
        <v>0</v>
      </c>
      <c r="C70" s="36" t="s">
        <v>54</v>
      </c>
      <c r="D70" s="37">
        <f>'Нормативы и РРЦ'!D19</f>
        <v>65000</v>
      </c>
      <c r="E70" s="38">
        <f>B70*D70</f>
        <v>0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26" t="s">
        <v>264</v>
      </c>
      <c r="B71" s="33"/>
      <c r="C71" s="33"/>
      <c r="D71" s="34"/>
      <c r="E71" s="35">
        <f>SUM(E72:E73)</f>
        <v>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8">
      <c r="A72" s="6" t="s">
        <v>265</v>
      </c>
      <c r="B72" s="36">
        <f>'Параметры для расчета'!B52</f>
        <v>0</v>
      </c>
      <c r="C72" s="36" t="s">
        <v>20</v>
      </c>
      <c r="D72" s="37">
        <f>'Нормативы и РРЦ'!D15</f>
        <v>75000</v>
      </c>
      <c r="E72" s="38">
        <f>B72*D72</f>
        <v>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6" t="s">
        <v>266</v>
      </c>
      <c r="B73" s="36">
        <f>'Параметры для расчета'!B53</f>
        <v>0</v>
      </c>
      <c r="C73" s="36" t="s">
        <v>20</v>
      </c>
      <c r="D73" s="37">
        <f>'Нормативы и РРЦ'!D16</f>
        <v>47000</v>
      </c>
      <c r="E73" s="38">
        <f>B73*D73</f>
        <v>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1" t="s">
        <v>267</v>
      </c>
      <c r="B74" s="39"/>
      <c r="C74" s="39"/>
      <c r="D74" s="40"/>
      <c r="E74" s="41" t="e">
        <f>E75+E84+E86</f>
        <v>#DIV/0!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26" t="s">
        <v>268</v>
      </c>
      <c r="B75" s="33"/>
      <c r="C75" s="33"/>
      <c r="D75" s="34"/>
      <c r="E75" s="35" t="e">
        <f>SUM(E76:E83)</f>
        <v>#DIV/0!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6" t="s">
        <v>123</v>
      </c>
      <c r="B76" s="36">
        <f>'Параметры для расчета'!B48</f>
        <v>0</v>
      </c>
      <c r="C76" s="36" t="s">
        <v>18</v>
      </c>
      <c r="D76" s="37">
        <f>'Нормативы и РРЦ'!D30</f>
        <v>18450</v>
      </c>
      <c r="E76" s="38">
        <f t="shared" ref="E76:E83" si="3">B76*D76</f>
        <v>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6" t="s">
        <v>269</v>
      </c>
      <c r="B77" s="36">
        <f>'Параметры для расчета'!B47</f>
        <v>0</v>
      </c>
      <c r="C77" s="36" t="s">
        <v>58</v>
      </c>
      <c r="D77" s="37">
        <f>'Нормативы и РРЦ'!D29</f>
        <v>2070</v>
      </c>
      <c r="E77" s="38">
        <f t="shared" si="3"/>
        <v>0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6" t="s">
        <v>128</v>
      </c>
      <c r="B78" s="36">
        <f>'Параметры для расчета'!B50</f>
        <v>0</v>
      </c>
      <c r="C78" s="36" t="s">
        <v>20</v>
      </c>
      <c r="D78" s="37">
        <f>'Нормативы и РРЦ'!D33</f>
        <v>50000</v>
      </c>
      <c r="E78" s="38">
        <f t="shared" si="3"/>
        <v>0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6" t="s">
        <v>270</v>
      </c>
      <c r="B79" s="36" t="e">
        <f>'Параметры для расчета'!B51</f>
        <v>#DIV/0!</v>
      </c>
      <c r="C79" s="36" t="s">
        <v>63</v>
      </c>
      <c r="D79" s="37">
        <f>'Нормативы и РРЦ'!D34</f>
        <v>2250</v>
      </c>
      <c r="E79" s="38" t="e">
        <f t="shared" si="3"/>
        <v>#DIV/0!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8">
      <c r="A80" s="6" t="s">
        <v>271</v>
      </c>
      <c r="B80" s="36">
        <f>'Параметры для расчета'!B46</f>
        <v>0</v>
      </c>
      <c r="C80" s="36" t="s">
        <v>3</v>
      </c>
      <c r="D80" s="37">
        <f>'Нормативы и РРЦ'!D31</f>
        <v>4850</v>
      </c>
      <c r="E80" s="38">
        <f t="shared" si="3"/>
        <v>0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6" t="s">
        <v>272</v>
      </c>
      <c r="B81" s="36">
        <f>'Параметры для расчета'!B46</f>
        <v>0</v>
      </c>
      <c r="C81" s="36" t="s">
        <v>3</v>
      </c>
      <c r="D81" s="37">
        <f>'Нормативы и РРЦ'!D25</f>
        <v>650</v>
      </c>
      <c r="E81" s="38">
        <f t="shared" si="3"/>
        <v>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6" t="s">
        <v>127</v>
      </c>
      <c r="B82" s="36">
        <f>'Параметры для расчета'!B49</f>
        <v>0</v>
      </c>
      <c r="C82" s="36" t="s">
        <v>18</v>
      </c>
      <c r="D82" s="37">
        <f>'Нормативы и РРЦ'!D32</f>
        <v>7500</v>
      </c>
      <c r="E82" s="38">
        <f t="shared" si="3"/>
        <v>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6" t="s">
        <v>273</v>
      </c>
      <c r="B83" s="36">
        <f>'Параметры для расчета'!B46</f>
        <v>0</v>
      </c>
      <c r="C83" s="36" t="s">
        <v>3</v>
      </c>
      <c r="D83" s="37">
        <f>'Нормативы и РРЦ'!D26</f>
        <v>1600</v>
      </c>
      <c r="E83" s="38">
        <f t="shared" si="3"/>
        <v>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26" t="s">
        <v>274</v>
      </c>
      <c r="B84" s="33"/>
      <c r="C84" s="33"/>
      <c r="D84" s="34"/>
      <c r="E84" s="35">
        <f>E85</f>
        <v>0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6" t="s">
        <v>275</v>
      </c>
      <c r="B85" s="36">
        <f>1</f>
        <v>1</v>
      </c>
      <c r="C85" s="36" t="s">
        <v>45</v>
      </c>
      <c r="D85" s="37">
        <f>'Параметры для расчета'!B15*'Нормативы и РРЦ'!D35</f>
        <v>0</v>
      </c>
      <c r="E85" s="38">
        <f>B85*D85</f>
        <v>0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26" t="s">
        <v>276</v>
      </c>
      <c r="B86" s="33"/>
      <c r="C86" s="33"/>
      <c r="D86" s="34"/>
      <c r="E86" s="35" t="e">
        <f>SUM(E87:E90)</f>
        <v>#DIV/0!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8">
      <c r="A87" s="6" t="s">
        <v>116</v>
      </c>
      <c r="B87" s="36" t="e">
        <f>'Параметры для расчета'!B32</f>
        <v>#DIV/0!</v>
      </c>
      <c r="C87" s="36" t="s">
        <v>277</v>
      </c>
      <c r="D87" s="37">
        <f>'Нормативы и РРЦ'!D28</f>
        <v>650</v>
      </c>
      <c r="E87" s="38" t="e">
        <f>B87*D87</f>
        <v>#DIV/0!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6" t="s">
        <v>278</v>
      </c>
      <c r="B88" s="36">
        <f>'Параметры для расчета'!B56</f>
        <v>1</v>
      </c>
      <c r="C88" s="36" t="s">
        <v>54</v>
      </c>
      <c r="D88" s="37">
        <f>'Нормативы и РРЦ'!D21</f>
        <v>42000</v>
      </c>
      <c r="E88" s="38">
        <f>B88*D88</f>
        <v>42000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6" t="s">
        <v>114</v>
      </c>
      <c r="B89" s="36">
        <f>'Параметры для расчета'!B46</f>
        <v>0</v>
      </c>
      <c r="C89" s="36" t="s">
        <v>279</v>
      </c>
      <c r="D89" s="37">
        <f>'Нормативы и РРЦ'!D27</f>
        <v>450</v>
      </c>
      <c r="E89" s="38">
        <f>B89*D89</f>
        <v>0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8">
      <c r="A90" s="6" t="s">
        <v>280</v>
      </c>
      <c r="B90" s="36">
        <f>1</f>
        <v>1</v>
      </c>
      <c r="C90" s="36" t="s">
        <v>45</v>
      </c>
      <c r="D90" s="37">
        <f>'Нормативы и РРЦ'!D36</f>
        <v>225400</v>
      </c>
      <c r="E90" s="38">
        <f>B90*D90</f>
        <v>225400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1" t="s">
        <v>281</v>
      </c>
      <c r="B91" s="39"/>
      <c r="C91" s="39"/>
      <c r="D91" s="40"/>
      <c r="E91" s="41" t="e">
        <f>SUM(E92:E110)</f>
        <v>#DIV/0!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6" t="s">
        <v>282</v>
      </c>
      <c r="B92" s="36">
        <f>'Параметры для расчета'!B30</f>
        <v>0</v>
      </c>
      <c r="C92" s="36" t="s">
        <v>240</v>
      </c>
      <c r="D92" s="37">
        <f>'Нормативы и РРЦ'!D70</f>
        <v>9500</v>
      </c>
      <c r="E92" s="38">
        <f t="shared" ref="E92:E110" si="4">B92*D92</f>
        <v>0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6" t="s">
        <v>201</v>
      </c>
      <c r="B93" s="36">
        <f>'Параметры для расчета'!B30</f>
        <v>0</v>
      </c>
      <c r="C93" s="36" t="s">
        <v>240</v>
      </c>
      <c r="D93" s="37">
        <f>'Нормативы и РРЦ'!D71</f>
        <v>900</v>
      </c>
      <c r="E93" s="38">
        <f t="shared" si="4"/>
        <v>0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6" t="s">
        <v>202</v>
      </c>
      <c r="B94" s="36">
        <f>'Параметры для расчета'!B30</f>
        <v>0</v>
      </c>
      <c r="C94" s="36" t="s">
        <v>240</v>
      </c>
      <c r="D94" s="37">
        <f>'Нормативы и РРЦ'!D72</f>
        <v>700</v>
      </c>
      <c r="E94" s="38">
        <f t="shared" si="4"/>
        <v>0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6" t="s">
        <v>283</v>
      </c>
      <c r="B95" s="36">
        <f>'Параметры для расчета'!B30</f>
        <v>0</v>
      </c>
      <c r="C95" s="36" t="s">
        <v>240</v>
      </c>
      <c r="D95" s="37">
        <f>'Нормативы и РРЦ'!D73</f>
        <v>1600</v>
      </c>
      <c r="E95" s="38">
        <f t="shared" si="4"/>
        <v>0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6" t="s">
        <v>204</v>
      </c>
      <c r="B96" s="36">
        <f>'Параметры для расчета'!B30</f>
        <v>0</v>
      </c>
      <c r="C96" s="36" t="s">
        <v>240</v>
      </c>
      <c r="D96" s="37">
        <f>'Нормативы и РРЦ'!D74</f>
        <v>800</v>
      </c>
      <c r="E96" s="38">
        <f t="shared" si="4"/>
        <v>0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6" t="s">
        <v>205</v>
      </c>
      <c r="B97" s="36">
        <f>'Параметры для расчета'!B30</f>
        <v>0</v>
      </c>
      <c r="C97" s="36" t="s">
        <v>240</v>
      </c>
      <c r="D97" s="37">
        <f>'Нормативы и РРЦ'!D75</f>
        <v>1100</v>
      </c>
      <c r="E97" s="38">
        <f t="shared" si="4"/>
        <v>0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6" t="s">
        <v>206</v>
      </c>
      <c r="B98" s="36">
        <f>'Параметры для расчета'!B30</f>
        <v>0</v>
      </c>
      <c r="C98" s="36" t="s">
        <v>240</v>
      </c>
      <c r="D98" s="37">
        <f>'Нормативы и РРЦ'!D76</f>
        <v>700</v>
      </c>
      <c r="E98" s="38">
        <f t="shared" si="4"/>
        <v>0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6" t="s">
        <v>207</v>
      </c>
      <c r="B99" s="36">
        <f>'Параметры для расчета'!B30</f>
        <v>0</v>
      </c>
      <c r="C99" s="36" t="s">
        <v>240</v>
      </c>
      <c r="D99" s="37">
        <f>'Нормативы и РРЦ'!D77</f>
        <v>500</v>
      </c>
      <c r="E99" s="38">
        <f t="shared" si="4"/>
        <v>0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6" t="s">
        <v>208</v>
      </c>
      <c r="B100" s="36">
        <f>'Параметры для расчета'!B30</f>
        <v>0</v>
      </c>
      <c r="C100" s="36" t="s">
        <v>240</v>
      </c>
      <c r="D100" s="37">
        <f>'Нормативы и РРЦ'!D78</f>
        <v>1200</v>
      </c>
      <c r="E100" s="38">
        <f t="shared" si="4"/>
        <v>0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6" t="s">
        <v>209</v>
      </c>
      <c r="B101" s="36">
        <f>'Параметры для расчета'!B30</f>
        <v>0</v>
      </c>
      <c r="C101" s="36" t="s">
        <v>240</v>
      </c>
      <c r="D101" s="37">
        <f>'Нормативы и РРЦ'!D79</f>
        <v>500</v>
      </c>
      <c r="E101" s="38">
        <f t="shared" si="4"/>
        <v>0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8">
      <c r="A102" s="6" t="s">
        <v>284</v>
      </c>
      <c r="B102" s="36">
        <f>'Параметры для расчета'!B30</f>
        <v>0</v>
      </c>
      <c r="C102" s="36" t="s">
        <v>240</v>
      </c>
      <c r="D102" s="37">
        <f>'Нормативы и РРЦ'!D80</f>
        <v>1500</v>
      </c>
      <c r="E102" s="38">
        <f t="shared" si="4"/>
        <v>0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6" t="s">
        <v>211</v>
      </c>
      <c r="B103" s="36">
        <f>'Параметры для расчета'!B30</f>
        <v>0</v>
      </c>
      <c r="C103" s="36" t="s">
        <v>240</v>
      </c>
      <c r="D103" s="37">
        <f>'Нормативы и РРЦ'!D81</f>
        <v>500</v>
      </c>
      <c r="E103" s="38">
        <f t="shared" si="4"/>
        <v>0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8">
      <c r="A104" s="6" t="s">
        <v>109</v>
      </c>
      <c r="B104" s="36">
        <f>'Параметры для расчета'!B46</f>
        <v>0</v>
      </c>
      <c r="C104" s="36" t="s">
        <v>3</v>
      </c>
      <c r="D104" s="37">
        <f>'Нормативы и РРЦ'!D24</f>
        <v>5900</v>
      </c>
      <c r="E104" s="38">
        <f t="shared" si="4"/>
        <v>0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6" t="s">
        <v>187</v>
      </c>
      <c r="B105" s="36" t="e">
        <f>ROUNDUP((SUM(E92:E104)+SUM(E106:E110))/'Нормативы и РРЦ'!D64,0)</f>
        <v>#DIV/0!</v>
      </c>
      <c r="C105" s="36" t="s">
        <v>245</v>
      </c>
      <c r="D105" s="37">
        <f>'Нормативы и РРЦ'!D63</f>
        <v>35000</v>
      </c>
      <c r="E105" s="38" t="e">
        <f t="shared" si="4"/>
        <v>#DIV/0!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6" t="s">
        <v>285</v>
      </c>
      <c r="B106" s="36">
        <f>'Параметры для расчета'!B7</f>
        <v>0</v>
      </c>
      <c r="C106" s="36" t="s">
        <v>3</v>
      </c>
      <c r="D106" s="37">
        <f>'Нормативы и РРЦ'!D65</f>
        <v>1200</v>
      </c>
      <c r="E106" s="38">
        <f t="shared" si="4"/>
        <v>0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6" t="s">
        <v>193</v>
      </c>
      <c r="B107" s="36">
        <f>'Параметры для расчета'!B7</f>
        <v>0</v>
      </c>
      <c r="C107" s="36" t="s">
        <v>3</v>
      </c>
      <c r="D107" s="37">
        <f>'Нормативы и РРЦ'!D66</f>
        <v>1200</v>
      </c>
      <c r="E107" s="38">
        <f t="shared" si="4"/>
        <v>0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2">
      <c r="A108" s="6" t="s">
        <v>286</v>
      </c>
      <c r="B108" s="36">
        <f>'Параметры для расчета'!B15</f>
        <v>0</v>
      </c>
      <c r="C108" s="36" t="s">
        <v>3</v>
      </c>
      <c r="D108" s="37">
        <f>'Нормативы и РРЦ'!D67</f>
        <v>9500</v>
      </c>
      <c r="E108" s="38">
        <f t="shared" si="4"/>
        <v>0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6" t="s">
        <v>287</v>
      </c>
      <c r="B109" s="36">
        <f>'Параметры для расчета'!B50/0.03</f>
        <v>0</v>
      </c>
      <c r="C109" s="36" t="s">
        <v>3</v>
      </c>
      <c r="D109" s="37">
        <f>'Нормативы и РРЦ'!D68</f>
        <v>1950</v>
      </c>
      <c r="E109" s="38">
        <f t="shared" si="4"/>
        <v>0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8" t="s">
        <v>198</v>
      </c>
      <c r="B110" s="42" t="e">
        <f>'Параметры для расчета'!B32</f>
        <v>#DIV/0!</v>
      </c>
      <c r="C110" s="42" t="s">
        <v>3</v>
      </c>
      <c r="D110" s="43">
        <f>'Нормативы и РРЦ'!D69</f>
        <v>1650</v>
      </c>
      <c r="E110" s="44" t="e">
        <f t="shared" si="4"/>
        <v>#DIV/0!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</sheetData>
  <mergeCells count="1"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Нормативы и РРЦ</vt:lpstr>
      <vt:lpstr>Параметры для расчета</vt:lpstr>
      <vt:lpstr>Клееный Брус 200 280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 Пика</cp:lastModifiedBy>
  <dcterms:created xsi:type="dcterms:W3CDTF">2026-10-21T14:53:10Z</dcterms:created>
  <dcterms:modified xsi:type="dcterms:W3CDTF">2026-10-21T14:53:10Z</dcterms:modified>
</cp:coreProperties>
</file>